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<sst xmlns="http://schemas.openxmlformats.org/spreadsheetml/2006/main" count="252" uniqueCount="175">
  <si>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</si>
  <si>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</si>
  <si>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</si>
  <si>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</si>
  <si>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</si>
  <si>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</si>
  <si>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</si>
  <si>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</si>
  <si>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</si>
  <si>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</si>
  <si>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</si>
  <si>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</si>
  <si>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</si>
  <si>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Общ. площ.,кв.м.</t>
  </si>
  <si>
    <t>Конструктивные элементы</t>
  </si>
  <si>
    <t>Восстановление (ремонт) бетонной отмостки толщиной 15 см</t>
  </si>
  <si>
    <t>100 м2 отмостки</t>
  </si>
  <si>
    <t>Заделка трещин в каменных стенах цементным раствором</t>
  </si>
  <si>
    <t>100 м заделанной трещины</t>
  </si>
  <si>
    <t>Простая масляная окраска ранее окрашенных поверхностей</t>
  </si>
  <si>
    <t>100 м2 окрашенной поверхности</t>
  </si>
  <si>
    <t>Восстановление козырьков</t>
  </si>
  <si>
    <t>кв.м.</t>
  </si>
  <si>
    <t>Смена поврежденных листов асбоцементных кровель</t>
  </si>
  <si>
    <t>100 м2 сменяемого покрытия</t>
  </si>
  <si>
    <t>Итого по разделу:</t>
  </si>
  <si>
    <t>Внутридомовое инженерное оборудование и технические устройства</t>
  </si>
  <si>
    <t>Прочистка и промывка отопительных приборов ребристых труб внутри здания</t>
  </si>
  <si>
    <t>100 приборов</t>
  </si>
  <si>
    <t>Восстановление разрушенной тепловой изоляции шнуром асбестовым</t>
  </si>
  <si>
    <t>100 м2 восстановленного участка</t>
  </si>
  <si>
    <t>Техническое обслуживание внутридомовых газопроводов диаметром 50-75 мм</t>
  </si>
  <si>
    <t>100 пог. м.</t>
  </si>
  <si>
    <t>Устранение неплотности соединений газопровода диаметром 15 мм</t>
  </si>
  <si>
    <t>1 соединение</t>
  </si>
  <si>
    <t>Замена газового крана диаметром 25 и 32 мм</t>
  </si>
  <si>
    <t>1 кран</t>
  </si>
  <si>
    <t>Проверка работоспособности и смазка отключающих устройств</t>
  </si>
  <si>
    <t>1 устройство</t>
  </si>
  <si>
    <t>Визуальная проверка (осмотр) газового оборудования</t>
  </si>
  <si>
    <t>1 оборудование</t>
  </si>
  <si>
    <t>Проверка герметичности соединений и отключающих устройств</t>
  </si>
  <si>
    <t>Проверка работоспособности устройств, позволяющих автоматически отключить подачу газа при отклонении контролируемых параметров за допустимые пределы, их наладка и регулировка</t>
  </si>
  <si>
    <t>Замена лампы накаливания на энергосберегательную</t>
  </si>
  <si>
    <t>1 лампа</t>
  </si>
  <si>
    <t>Утепление и прочистка дымовентиляционных каналов</t>
  </si>
  <si>
    <t>1000 кв.м. общей площади</t>
  </si>
  <si>
    <t>Осмотр территории вокруг здания и фундамента</t>
  </si>
  <si>
    <t>Осмотр деревянных стен, перегородок</t>
  </si>
  <si>
    <t>Осмотр деревянных перекрытий</t>
  </si>
  <si>
    <t>Осмотр деревянных покрытий, полов</t>
  </si>
  <si>
    <t>1000 кв.м. полов</t>
  </si>
  <si>
    <t>Осмотр железобетонных покрытий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</si>
  <si>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</si>
  <si>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</si>
  <si>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</si>
  <si>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</si>
  <si>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</si>
  <si>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</si>
  <si>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</si>
  <si>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Устранение аварии на внутридомовых инженерных сетях при сроке эксплуатации многоквартирного дома от 11 до 30  лет</t>
  </si>
  <si>
    <t>1000 м2  общей площади жилых помещений, оборудованных газовыми плитами (в год для одной смены)</t>
  </si>
  <si>
    <t>Санитарное содержание мест общего пользования, благоустройство придомовой территории и прочие работы</t>
  </si>
  <si>
    <t>Очистка опрокидывающихся урн от мусора</t>
  </si>
  <si>
    <t>на 100 урн</t>
  </si>
  <si>
    <t>Очистка от наледи и льда крышек люков пожарных колодцев</t>
  </si>
  <si>
    <t>1 шт</t>
  </si>
  <si>
    <t>Очистка кровли от снега, сбивание сосулек (при толщине слоя до 10 см)</t>
  </si>
  <si>
    <t>100 кв.м. кровли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</si>
  <si>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</si>
  <si>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</si>
  <si>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</si>
  <si>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</si>
  <si>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</si>
  <si>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</si>
  <si>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</si>
  <si>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</si>
  <si>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</si>
  <si>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</si>
  <si>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</si>
  <si>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</si>
  <si>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</si>
  <si>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</si>
  <si>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2.4 разряда</t>
  </si>
  <si>
    <t>чел.-час</t>
  </si>
  <si>
    <t>Бетонщик 4 разряда</t>
  </si>
  <si>
    <t>Дворник 1 разряда</t>
  </si>
  <si>
    <t>Изолировщик на термоизоляции 2 разряда</t>
  </si>
  <si>
    <t>Изолировщик на термоизоляции 3 разряда</t>
  </si>
  <si>
    <t>Изолировщик на термоизоляции 4 разряда</t>
  </si>
  <si>
    <t>Каменщик 3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</si>
  <si>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</si>
  <si>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</si>
  <si>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стальным кровлям 3 разряда</t>
  </si>
  <si>
    <t>Кровельщик по стальным кровлям 4 разряда</t>
  </si>
  <si>
    <t>Маляр 2 разряда</t>
  </si>
  <si>
    <t>Маляр 3 разряда</t>
  </si>
  <si>
    <t>Монтажник санитарно-технических систем и оборудования 4 разряда</t>
  </si>
  <si>
    <t>Плотник 4 разряда</t>
  </si>
  <si>
    <t>Подсобный рабочий 1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</si>
  <si>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</si>
  <si>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3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</si>
  <si>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</si>
  <si>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</si>
  <si>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3 разряда</t>
  </si>
  <si>
    <t>Слесарь-сантехник 4 разряда</t>
  </si>
  <si>
    <t>Столяр строительный 4 разряда</t>
  </si>
  <si>
    <t>Чистильщик дымоходов, боровок и топок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</si>
  <si>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</si>
  <si>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</si>
  <si>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</si>
  <si>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</si>
  <si>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</si>
  <si>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</si>
  <si>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Белила</t>
  </si>
  <si>
    <t>т</t>
  </si>
  <si>
    <t>Бетон тяжелый, крупность заполнителя 20 мм, класс В15 (М200)</t>
  </si>
  <si>
    <t>м3</t>
  </si>
  <si>
    <t>Бруски обрезные хвойных пород длиной 2 - 6,5 м, толщиной 40 - 60 мм II сорта</t>
  </si>
  <si>
    <t>Ветошь</t>
  </si>
  <si>
    <t>кг</t>
  </si>
  <si>
    <t>Вода водопроводная</t>
  </si>
  <si>
    <t>Войлок строительный толщиной 15 мм</t>
  </si>
  <si>
    <t>м2</t>
  </si>
  <si>
    <t>Волокно целлюлозное типа Виатон-66</t>
  </si>
  <si>
    <t>Гвозди строительные</t>
  </si>
  <si>
    <t>Гвозди строительные с плоской головкой 1,8 x 60 мм</t>
  </si>
  <si>
    <t>Детали к листам асбестоцементным волнистым обыкновенного профиля, коньковые К-1 и К-2</t>
  </si>
  <si>
    <t>100 пар</t>
  </si>
  <si>
    <t>Доски половые со шпунтом и гребнем из древесины антисептированные тип ДП-27, толщиной 27 мм, шириной без гребня от 100 до 140 мм</t>
  </si>
  <si>
    <t>Доски строганные длиной 2-3,75 м, шириной 75 - 150 мм, толщиной 25 мм, III сорта</t>
  </si>
  <si>
    <t>Доски строганные длиной 2-3,75 м, шириной 75 - 150 мм, толщиной 44 мм и более III сорта</t>
  </si>
  <si>
    <t>Кран газовый, Ду 25-32 мм</t>
  </si>
  <si>
    <t>шт.</t>
  </si>
  <si>
    <t>Краски масляные земляные  МА-0115: мумия, сурик  железный</t>
  </si>
  <si>
    <t>Краски масляные и алкидные, готовые к применению белила литопонные: МА-22</t>
  </si>
  <si>
    <t>Лампа энергосберегающая</t>
  </si>
  <si>
    <t>Листы асбестоцементные волнистые обыкновенного профиля толщиной 5,5 мм</t>
  </si>
  <si>
    <t>Металлоконструкции кронштейнов</t>
  </si>
  <si>
    <t>Мешки полиэтиленовые, 60 л</t>
  </si>
  <si>
    <t>1000 шт.</t>
  </si>
  <si>
    <t>Мыльный раствор</t>
  </si>
  <si>
    <t>л</t>
  </si>
  <si>
    <t>Олифа комбинированная К-3</t>
  </si>
  <si>
    <t>Олифа натуральная</t>
  </si>
  <si>
    <t>Очес льняной</t>
  </si>
  <si>
    <t>Пемза шлаковая (щебень пористый из металлургического шлака), марка 600,фракция от 5 до 10 мм</t>
  </si>
  <si>
    <t>Пигмент тертый</t>
  </si>
  <si>
    <t>Поковки оцинкованные, масса 2,825 кг</t>
  </si>
  <si>
    <t>Поковки простые строительные (скобы, закрепы, хомуты и т.п.) массой до 1,6 кг</t>
  </si>
  <si>
    <t>Проволока стальная низкоуглеродистая разного  назначения оцинкованная диаметром 1,1 мм</t>
  </si>
  <si>
    <t>Проволока черная, отожженная, 0,8 мм</t>
  </si>
  <si>
    <t>Прокладки из паронита марки ПМБ, толщиной 1 мм, д. 200 мм</t>
  </si>
  <si>
    <t>Прокладки толевые уплотнительные 20 x 20 мм</t>
  </si>
  <si>
    <t>10 шт.</t>
  </si>
  <si>
    <t>Раствор готовый кладочный цементный М25</t>
  </si>
  <si>
    <t>Смазка солидол жировой Ж</t>
  </si>
  <si>
    <t xml:space="preserve">Сталь листовая кровельная черная толщиной 0,7 мм </t>
  </si>
  <si>
    <t>Ткань мешочная</t>
  </si>
  <si>
    <t>10 м2</t>
  </si>
  <si>
    <t>Шайбы плоские из оцинкованной стали</t>
  </si>
  <si>
    <t>Шнур асбестовый общего назначения, марки ШАОН диаметром 10.0 мм</t>
  </si>
  <si>
    <t>Шпагат бумажный влагопрочный одножильный 3,7 мм</t>
  </si>
  <si>
    <t>Шпатлевка масляно-клеевая</t>
  </si>
  <si>
    <t>Шурупы с полукруглой головкой 6 x 80 мм</t>
  </si>
  <si>
    <t xml:space="preserve">Щебень из доменного шлака для  бетона марка Др.45, фракция 20 - 40 мм                           </t>
  </si>
  <si>
    <t>Щиты из досок толщиной 40 мм</t>
  </si>
  <si>
    <t>Машины/Механизмы</t>
  </si>
  <si>
    <t>Автобетононасосы 65 м3/ч</t>
  </si>
  <si>
    <t>маш.-час</t>
  </si>
  <si>
    <t>Виброплита электрическая</t>
  </si>
  <si>
    <t>Компрессор передвижной с двигателем внутреннего сгорания давлением до 686 кПа (7 ат) до 5 м3/мин</t>
  </si>
  <si>
    <t>Молотки при работе от передвижных компрессорных станций чеканочные</t>
  </si>
  <si>
    <t>Смета расходов. Список работ по типу многоквартирного дома 5</t>
  </si>
  <si>
    <t xml:space="preserve">1-2 этажные дома деревянные, смешанные и из прочих материалов, имеющие два и более видов благоустройства, с газоснабжением и без оформления права собственности на земельный участок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</si>
</sst>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0" fontId="5" fillId="37" borderId="34" xfId="0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4" fontId="5" fillId="37" borderId="35" xfId="0" applyNumberFormat="1" applyFont="1" applyFill="1" applyBorder="1" applyAlignment="1" applyProtection="1">
      <alignment horizontal="left" vertical="center" wrapText="1"/>
      <protection/>
    </xf>
    <xf numFmtId="0" fontId="6" fillId="34" borderId="36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7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4" fontId="12" fillId="0" borderId="39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tabSelected="1" workbookViewId="0" topLeftCell="B1">
      <selection activeCell="B5" sqref="B5:N5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3.25">
      <c r="B1" s="34" t="s">
        <v>173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3" spans="2:14" ht="54.7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2:14" ht="44.25" customHeight="1">
      <c r="B4" s="35" t="s">
        <v>174</v>
      </c>
      <c r="C4" s="36"/>
      <c r="D4" s="36"/>
      <c r="E4" s="36"/>
      <c r="F4" s="36"/>
      <c r="G4" s="37"/>
      <c r="H4" s="37"/>
      <c r="I4" s="37"/>
      <c r="J4" s="37"/>
      <c r="K4" s="37"/>
      <c r="L4" s="38" t="s">
        <v>13</v>
      </c>
      <c r="M4" s="38"/>
      <c r="N4" s="16">
        <v>300</v>
      </c>
    </row>
    <row r="5" spans="2:14" ht="21.75" customHeight="1">
      <c r="B5" s="39" t="s">
        <v>14</v>
      </c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2"/>
    </row>
    <row r="6" spans="2:14" ht="24">
      <c r="B6" s="8">
        <v>1</v>
      </c>
      <c r="C6" s="6" t="s">
        <v>15</v>
      </c>
      <c r="D6" s="6" t="s">
        <v>16</v>
      </c>
      <c r="E6" s="10">
        <v>0.03</v>
      </c>
      <c r="F6" s="10">
        <v>1</v>
      </c>
      <c r="G6" s="13">
        <f>25477.778718*E6*F6</f>
        <v>764.33336154</v>
      </c>
      <c r="H6" s="13">
        <f>55869.732823*E6*F6</f>
        <v>1676.09198469</v>
      </c>
      <c r="I6" s="13">
        <f>6670.242726*E6*F6</f>
        <v>200.10728178</v>
      </c>
      <c r="J6" s="13">
        <f>26309.075486288*E6*F6</f>
        <v>789.2722645886399</v>
      </c>
      <c r="K6" s="13">
        <f>12004.317124095*E6*F6</f>
        <v>360.12951372285</v>
      </c>
      <c r="L6" s="13">
        <f>5527.1166988*E6*F6</f>
        <v>165.813500964</v>
      </c>
      <c r="M6" s="13">
        <f>SUM(G6:L6)</f>
        <v>3955.7479072854894</v>
      </c>
      <c r="N6" s="17">
        <f>IF(N4&gt;0,(M6/$N$4/12),0)</f>
        <v>1.098818863134858</v>
      </c>
    </row>
    <row r="7" spans="2:14" ht="24">
      <c r="B7" s="9">
        <v>2</v>
      </c>
      <c r="C7" s="7" t="s">
        <v>17</v>
      </c>
      <c r="D7" s="7" t="s">
        <v>18</v>
      </c>
      <c r="E7" s="11">
        <v>0.01</v>
      </c>
      <c r="F7" s="11">
        <v>1</v>
      </c>
      <c r="G7" s="14">
        <f>4253.076*E7*F7</f>
        <v>42.53076</v>
      </c>
      <c r="H7" s="14">
        <f>558.85948*E7*F7</f>
        <v>5.5885948</v>
      </c>
      <c r="I7" s="14">
        <f>0*E7*F7</f>
        <v>0</v>
      </c>
      <c r="J7" s="14">
        <f>4048.928352*E7*F7</f>
        <v>40.48928352</v>
      </c>
      <c r="K7" s="14">
        <f>930.39070236*E7*F7</f>
        <v>9.3039070236</v>
      </c>
      <c r="L7" s="14">
        <f>850.6152*E7*F7</f>
        <v>8.506152</v>
      </c>
      <c r="M7" s="14">
        <f>SUM(G7:L7)</f>
        <v>106.41869734360002</v>
      </c>
      <c r="N7" s="18">
        <f>IF(N4&gt;0,(M7/$N$4/12),0)</f>
        <v>0.02956074926211112</v>
      </c>
    </row>
    <row r="8" spans="2:14" ht="24">
      <c r="B8" s="9">
        <v>3</v>
      </c>
      <c r="C8" s="7" t="s">
        <v>19</v>
      </c>
      <c r="D8" s="7" t="s">
        <v>20</v>
      </c>
      <c r="E8" s="11">
        <v>0.03</v>
      </c>
      <c r="F8" s="11">
        <v>1</v>
      </c>
      <c r="G8" s="14">
        <f>8907.602*E8*F8</f>
        <v>267.22806</v>
      </c>
      <c r="H8" s="14">
        <f>1954.956554576*E8*F8</f>
        <v>58.64869663728</v>
      </c>
      <c r="I8" s="14">
        <f>0*E8*F8</f>
        <v>0</v>
      </c>
      <c r="J8" s="14">
        <f>8480.037104*E8*F8</f>
        <v>254.40111312000002</v>
      </c>
      <c r="K8" s="14">
        <f>2030.9725441505*E8*F8</f>
        <v>60.929176324515</v>
      </c>
      <c r="L8" s="14">
        <f>1781.5204*E8*F8</f>
        <v>53.445612000000004</v>
      </c>
      <c r="M8" s="14">
        <f>SUM(G8:L8)</f>
        <v>694.652658081795</v>
      </c>
      <c r="N8" s="18">
        <f>IF(N4&gt;0,(M8/$N$4/12),0)</f>
        <v>0.19295907168938753</v>
      </c>
    </row>
    <row r="9" spans="2:14" ht="12">
      <c r="B9" s="9">
        <v>4</v>
      </c>
      <c r="C9" s="7" t="s">
        <v>21</v>
      </c>
      <c r="D9" s="7" t="s">
        <v>22</v>
      </c>
      <c r="E9" s="11">
        <v>0.5</v>
      </c>
      <c r="F9" s="11">
        <v>1</v>
      </c>
      <c r="G9" s="14">
        <f>799.578288*E9*F9</f>
        <v>399.789144</v>
      </c>
      <c r="H9" s="14">
        <f>536.124228771*E9*F9</f>
        <v>268.0621143855</v>
      </c>
      <c r="I9" s="14">
        <f>0*E9*F9</f>
        <v>0</v>
      </c>
      <c r="J9" s="14">
        <f>761.198530176*E9*F9</f>
        <v>380.599265088</v>
      </c>
      <c r="K9" s="14">
        <f>220.17460992943*E9*F9</f>
        <v>110.087304964715</v>
      </c>
      <c r="L9" s="14">
        <f>159.9156576*E9*F9</f>
        <v>79.9578288</v>
      </c>
      <c r="M9" s="14">
        <f>SUM(G9:L9)</f>
        <v>1238.495657238215</v>
      </c>
      <c r="N9" s="18">
        <f>IF(N4&gt;0,(M9/$N$4/12),0)</f>
        <v>0.3440265714550597</v>
      </c>
    </row>
    <row r="10" spans="2:14" ht="24">
      <c r="B10" s="9">
        <v>5</v>
      </c>
      <c r="C10" s="7" t="s">
        <v>23</v>
      </c>
      <c r="D10" s="7" t="s">
        <v>24</v>
      </c>
      <c r="E10" s="11">
        <v>0.05</v>
      </c>
      <c r="F10" s="11">
        <v>1</v>
      </c>
      <c r="G10" s="14">
        <f>9919.8295*E10*F10</f>
        <v>495.99147500000004</v>
      </c>
      <c r="H10" s="14">
        <f>22663.53879815*E10*F10</f>
        <v>1133.1769399075</v>
      </c>
      <c r="I10" s="14">
        <f>0*E10*F10</f>
        <v>0</v>
      </c>
      <c r="J10" s="14">
        <f>9443.677684*E10*F10</f>
        <v>472.1838842</v>
      </c>
      <c r="K10" s="14">
        <f>4412.8398281257*E10*F10</f>
        <v>220.641991406285</v>
      </c>
      <c r="L10" s="14">
        <f>1983.9659*E10*F10</f>
        <v>99.198295</v>
      </c>
      <c r="M10" s="14">
        <f>SUM(G10:L10)</f>
        <v>2421.192585513785</v>
      </c>
      <c r="N10" s="18">
        <f>IF(N4&gt;0,(M10/$N$4/12),0)</f>
        <v>0.6725534959760514</v>
      </c>
    </row>
    <row r="11" spans="2:14" ht="19.5" customHeight="1">
      <c r="B11" s="43" t="s">
        <v>25</v>
      </c>
      <c r="C11" s="44"/>
      <c r="D11" s="44"/>
      <c r="E11" s="44"/>
      <c r="F11" s="44"/>
      <c r="G11" s="15">
        <f aca="true" t="shared" si="0" ref="G11:N11">SUM(G6:G10)</f>
        <v>1969.8728005400003</v>
      </c>
      <c r="H11" s="15">
        <f t="shared" si="0"/>
        <v>3141.56833042028</v>
      </c>
      <c r="I11" s="15">
        <f t="shared" si="0"/>
        <v>200.10728178</v>
      </c>
      <c r="J11" s="15">
        <f t="shared" si="0"/>
        <v>1936.94581051664</v>
      </c>
      <c r="K11" s="15">
        <f t="shared" si="0"/>
        <v>761.091893441965</v>
      </c>
      <c r="L11" s="15">
        <f t="shared" si="0"/>
        <v>406.92138876399997</v>
      </c>
      <c r="M11" s="15">
        <f t="shared" si="0"/>
        <v>8416.507505462885</v>
      </c>
      <c r="N11" s="19">
        <f t="shared" si="0"/>
        <v>2.337918751517468</v>
      </c>
    </row>
    <row r="12" spans="2:14" ht="21.75" customHeight="1">
      <c r="B12" s="39" t="s">
        <v>26</v>
      </c>
      <c r="C12" s="40"/>
      <c r="D12" s="40"/>
      <c r="E12" s="40"/>
      <c r="F12" s="40"/>
      <c r="G12" s="41"/>
      <c r="H12" s="41"/>
      <c r="I12" s="41"/>
      <c r="J12" s="41"/>
      <c r="K12" s="41"/>
      <c r="L12" s="41"/>
      <c r="M12" s="41"/>
      <c r="N12" s="42"/>
    </row>
    <row r="13" spans="2:14" ht="24">
      <c r="B13" s="8">
        <v>6</v>
      </c>
      <c r="C13" s="6" t="s">
        <v>27</v>
      </c>
      <c r="D13" s="6" t="s">
        <v>28</v>
      </c>
      <c r="E13" s="10">
        <v>0.16</v>
      </c>
      <c r="F13" s="10">
        <v>1</v>
      </c>
      <c r="G13" s="13">
        <f>47230.40898*E13*F13</f>
        <v>7556.8654368</v>
      </c>
      <c r="H13" s="13">
        <f>9787.3866129*E13*F13</f>
        <v>1565.981858064</v>
      </c>
      <c r="I13" s="13">
        <f aca="true" t="shared" si="1" ref="I13:I34">0*E13*F13</f>
        <v>0</v>
      </c>
      <c r="J13" s="13">
        <f>44963.34934896*E13*F13</f>
        <v>7194.1358958336</v>
      </c>
      <c r="K13" s="13">
        <f>10708.020218895*E13*F13</f>
        <v>1713.2832350232002</v>
      </c>
      <c r="L13" s="13">
        <f>9446.081796*E13*F13</f>
        <v>1511.37308736</v>
      </c>
      <c r="M13" s="13">
        <f aca="true" t="shared" si="2" ref="M13:M34">SUM(G13:L13)</f>
        <v>19541.6395130808</v>
      </c>
      <c r="N13" s="17">
        <f>IF(N4&gt;0,(M13/$N$4/12),0)</f>
        <v>5.428233198078001</v>
      </c>
    </row>
    <row r="14" spans="2:14" ht="36">
      <c r="B14" s="9">
        <v>7</v>
      </c>
      <c r="C14" s="7" t="s">
        <v>29</v>
      </c>
      <c r="D14" s="7" t="s">
        <v>30</v>
      </c>
      <c r="E14" s="11">
        <v>0.01</v>
      </c>
      <c r="F14" s="11">
        <v>1</v>
      </c>
      <c r="G14" s="14">
        <f>26115.4695*E14*F14</f>
        <v>261.154695</v>
      </c>
      <c r="H14" s="14">
        <f>4084.1797915488*E14*F14</f>
        <v>40.841797915488</v>
      </c>
      <c r="I14" s="14">
        <f t="shared" si="1"/>
        <v>0</v>
      </c>
      <c r="J14" s="14">
        <f>24861.926964*E14*F14</f>
        <v>248.61926964</v>
      </c>
      <c r="K14" s="14">
        <f>5781.4655068326*E14*F14</f>
        <v>57.814655068326005</v>
      </c>
      <c r="L14" s="14">
        <f>5223.0939*E14*F14</f>
        <v>52.230939</v>
      </c>
      <c r="M14" s="14">
        <f t="shared" si="2"/>
        <v>660.6613566238141</v>
      </c>
      <c r="N14" s="18">
        <f>IF(N4&gt;0,(M14/$N$4/12),0)</f>
        <v>0.18351704350661502</v>
      </c>
    </row>
    <row r="15" spans="2:14" ht="24">
      <c r="B15" s="9">
        <v>8</v>
      </c>
      <c r="C15" s="7" t="s">
        <v>31</v>
      </c>
      <c r="D15" s="7" t="s">
        <v>32</v>
      </c>
      <c r="E15" s="11">
        <v>1</v>
      </c>
      <c r="F15" s="11">
        <v>1</v>
      </c>
      <c r="G15" s="14">
        <f>2239.04723*E15*F15</f>
        <v>2239.04723</v>
      </c>
      <c r="H15" s="14">
        <f>658.904650115*E15*F15</f>
        <v>658.904650115</v>
      </c>
      <c r="I15" s="14">
        <f t="shared" si="1"/>
        <v>0</v>
      </c>
      <c r="J15" s="14">
        <f>2131.57296296*E15*F15</f>
        <v>2131.57296296</v>
      </c>
      <c r="K15" s="14">
        <f>528.10010852288*E15*F15</f>
        <v>528.10010852288</v>
      </c>
      <c r="L15" s="14">
        <f>447.809446*E15*F15</f>
        <v>447.809446</v>
      </c>
      <c r="M15" s="14">
        <f t="shared" si="2"/>
        <v>6005.43439759788</v>
      </c>
      <c r="N15" s="18">
        <f>IF(N4&gt;0,(M15/$N$4/12),0)</f>
        <v>1.6681762215549665</v>
      </c>
    </row>
    <row r="16" spans="2:14" ht="24">
      <c r="B16" s="9">
        <v>9</v>
      </c>
      <c r="C16" s="7" t="s">
        <v>33</v>
      </c>
      <c r="D16" s="7" t="s">
        <v>34</v>
      </c>
      <c r="E16" s="11">
        <v>1</v>
      </c>
      <c r="F16" s="11">
        <v>1</v>
      </c>
      <c r="G16" s="14">
        <f>92.273856*E16*F16</f>
        <v>92.273856</v>
      </c>
      <c r="H16" s="14">
        <f>168.86001328*E16*F16</f>
        <v>168.86001328</v>
      </c>
      <c r="I16" s="14">
        <f t="shared" si="1"/>
        <v>0</v>
      </c>
      <c r="J16" s="14">
        <f>87.844710912*E16*F16</f>
        <v>87.844710912</v>
      </c>
      <c r="K16" s="14">
        <f>36.64275092016*E16*F16</f>
        <v>36.64275092016</v>
      </c>
      <c r="L16" s="14">
        <f>18.4547712*E16*F16</f>
        <v>18.4547712</v>
      </c>
      <c r="M16" s="14">
        <f t="shared" si="2"/>
        <v>404.07610231215995</v>
      </c>
      <c r="N16" s="18">
        <f>IF(N4&gt;0,(M16/$N$4/12),0)</f>
        <v>0.11224336175337778</v>
      </c>
    </row>
    <row r="17" spans="2:14" ht="12">
      <c r="B17" s="9">
        <v>10</v>
      </c>
      <c r="C17" s="7" t="s">
        <v>35</v>
      </c>
      <c r="D17" s="7" t="s">
        <v>36</v>
      </c>
      <c r="E17" s="11">
        <v>1</v>
      </c>
      <c r="F17" s="11">
        <v>1</v>
      </c>
      <c r="G17" s="14">
        <f>170.077234*E17*F17</f>
        <v>170.077234</v>
      </c>
      <c r="H17" s="14">
        <f>360.272*E17*F17</f>
        <v>360.272</v>
      </c>
      <c r="I17" s="14">
        <f t="shared" si="1"/>
        <v>0</v>
      </c>
      <c r="J17" s="14">
        <f>161.913526768*E17*F17</f>
        <v>161.913526768</v>
      </c>
      <c r="K17" s="14">
        <f>72.68758988064*E17*F17</f>
        <v>72.68758988064</v>
      </c>
      <c r="L17" s="14">
        <f>34.0154468*E17*F17</f>
        <v>34.0154468</v>
      </c>
      <c r="M17" s="14">
        <f t="shared" si="2"/>
        <v>798.9657974486399</v>
      </c>
      <c r="N17" s="18">
        <f>IF(N4&gt;0,(M17/$N$4/12),0)</f>
        <v>0.2219349437357333</v>
      </c>
    </row>
    <row r="18" spans="2:14" ht="24">
      <c r="B18" s="9">
        <v>11</v>
      </c>
      <c r="C18" s="7" t="s">
        <v>37</v>
      </c>
      <c r="D18" s="7" t="s">
        <v>38</v>
      </c>
      <c r="E18" s="11">
        <v>1</v>
      </c>
      <c r="F18" s="11">
        <v>1</v>
      </c>
      <c r="G18" s="14">
        <f>178.15204*E18*F18</f>
        <v>178.15204</v>
      </c>
      <c r="H18" s="14">
        <f>0*E18*F18</f>
        <v>0</v>
      </c>
      <c r="I18" s="14">
        <f t="shared" si="1"/>
        <v>0</v>
      </c>
      <c r="J18" s="14">
        <f>169.60074208*E18*F18</f>
        <v>169.60074208</v>
      </c>
      <c r="K18" s="14">
        <f>36.5140421184*E18*F18</f>
        <v>36.5140421184</v>
      </c>
      <c r="L18" s="14">
        <f>35.630408*E18*F18</f>
        <v>35.630408</v>
      </c>
      <c r="M18" s="14">
        <f t="shared" si="2"/>
        <v>419.89723219839993</v>
      </c>
      <c r="N18" s="18">
        <f>IF(N4&gt;0,(M18/$N$4/12),0)</f>
        <v>0.1166381200551111</v>
      </c>
    </row>
    <row r="19" spans="2:14" ht="12">
      <c r="B19" s="9">
        <v>12</v>
      </c>
      <c r="C19" s="7" t="s">
        <v>39</v>
      </c>
      <c r="D19" s="7" t="s">
        <v>40</v>
      </c>
      <c r="E19" s="11">
        <v>1</v>
      </c>
      <c r="F19" s="11">
        <v>4</v>
      </c>
      <c r="G19" s="14">
        <f>9.581816*E19*F19</f>
        <v>38.327264</v>
      </c>
      <c r="H19" s="14">
        <f>0*E19*F19</f>
        <v>0</v>
      </c>
      <c r="I19" s="14">
        <f t="shared" si="1"/>
        <v>0</v>
      </c>
      <c r="J19" s="14">
        <f>9.121888832*E19*F19</f>
        <v>36.487555328</v>
      </c>
      <c r="K19" s="14">
        <f>1.96388900736*E19*F19</f>
        <v>7.85555602944</v>
      </c>
      <c r="L19" s="14">
        <f>1.9163632*E19*F19</f>
        <v>7.6654528</v>
      </c>
      <c r="M19" s="14">
        <f t="shared" si="2"/>
        <v>90.33582815743999</v>
      </c>
      <c r="N19" s="18">
        <f>IF(N4&gt;0,(M19/$N$4/12),0)</f>
        <v>0.025093285599288886</v>
      </c>
    </row>
    <row r="20" spans="2:14" ht="24">
      <c r="B20" s="9">
        <v>13</v>
      </c>
      <c r="C20" s="7" t="s">
        <v>41</v>
      </c>
      <c r="D20" s="7" t="s">
        <v>34</v>
      </c>
      <c r="E20" s="11">
        <v>1</v>
      </c>
      <c r="F20" s="11">
        <v>1</v>
      </c>
      <c r="G20" s="14">
        <f>13.456604*E20*F20</f>
        <v>13.456604</v>
      </c>
      <c r="H20" s="14">
        <f>0*E20*F20</f>
        <v>0</v>
      </c>
      <c r="I20" s="14">
        <f t="shared" si="1"/>
        <v>0</v>
      </c>
      <c r="J20" s="14">
        <f>12.810687008*E20*F20</f>
        <v>12.810687008</v>
      </c>
      <c r="K20" s="14">
        <f>2.75806555584*E20*F20</f>
        <v>2.75806555584</v>
      </c>
      <c r="L20" s="14">
        <f>2.6913208*E20*F20</f>
        <v>2.6913208</v>
      </c>
      <c r="M20" s="14">
        <f t="shared" si="2"/>
        <v>31.71667736384</v>
      </c>
      <c r="N20" s="18">
        <f>IF(N4&gt;0,(M20/$N$4/12),0)</f>
        <v>0.008810188156622222</v>
      </c>
    </row>
    <row r="21" spans="2:14" ht="48">
      <c r="B21" s="9">
        <v>14</v>
      </c>
      <c r="C21" s="7" t="s">
        <v>42</v>
      </c>
      <c r="D21" s="7" t="s">
        <v>38</v>
      </c>
      <c r="E21" s="11">
        <v>1</v>
      </c>
      <c r="F21" s="11">
        <v>1</v>
      </c>
      <c r="G21" s="14">
        <f>50.304534*E21*F21</f>
        <v>50.304534</v>
      </c>
      <c r="H21" s="14">
        <f>0*E21*F21</f>
        <v>0</v>
      </c>
      <c r="I21" s="14">
        <f t="shared" si="1"/>
        <v>0</v>
      </c>
      <c r="J21" s="14">
        <f>47.889916368*E21*F21</f>
        <v>47.889916368</v>
      </c>
      <c r="K21" s="14">
        <f>10.31041728864*E21*F21</f>
        <v>10.31041728864</v>
      </c>
      <c r="L21" s="14">
        <f>10.0609068*E21*F21</f>
        <v>10.0609068</v>
      </c>
      <c r="M21" s="14">
        <f t="shared" si="2"/>
        <v>118.56577445663999</v>
      </c>
      <c r="N21" s="18">
        <f>IF(N4&gt;0,(M21/$N$4/12),0)</f>
        <v>0.03293493734906666</v>
      </c>
    </row>
    <row r="22" spans="2:14" ht="12">
      <c r="B22" s="9">
        <v>15</v>
      </c>
      <c r="C22" s="7" t="s">
        <v>43</v>
      </c>
      <c r="D22" s="7" t="s">
        <v>44</v>
      </c>
      <c r="E22" s="11">
        <v>1</v>
      </c>
      <c r="F22" s="11">
        <v>1</v>
      </c>
      <c r="G22" s="14">
        <f>20.202111*E22*F22</f>
        <v>20.202111</v>
      </c>
      <c r="H22" s="14">
        <f>94.6426*E22*F22</f>
        <v>94.6426</v>
      </c>
      <c r="I22" s="14">
        <f t="shared" si="1"/>
        <v>0</v>
      </c>
      <c r="J22" s="14">
        <f>19.232409672*E22*F22</f>
        <v>19.232409672</v>
      </c>
      <c r="K22" s="14">
        <f>14.07809767056*E22*F22</f>
        <v>14.07809767056</v>
      </c>
      <c r="L22" s="14">
        <f>4.0404222*E22*F22</f>
        <v>4.0404222</v>
      </c>
      <c r="M22" s="14">
        <f t="shared" si="2"/>
        <v>152.19564054256</v>
      </c>
      <c r="N22" s="18">
        <f>IF(N4&gt;0,(M22/$N$4/12),0)</f>
        <v>0.04227656681737777</v>
      </c>
    </row>
    <row r="23" spans="2:14" ht="24">
      <c r="B23" s="9">
        <v>16</v>
      </c>
      <c r="C23" s="7" t="s">
        <v>45</v>
      </c>
      <c r="D23" s="7" t="s">
        <v>46</v>
      </c>
      <c r="E23" s="11">
        <v>0.3</v>
      </c>
      <c r="F23" s="11">
        <v>1</v>
      </c>
      <c r="G23" s="14">
        <f>4934.63524*E23*F23</f>
        <v>1480.3905719999998</v>
      </c>
      <c r="H23" s="14">
        <f>2469.80941284*E23*F23</f>
        <v>740.942823852</v>
      </c>
      <c r="I23" s="14">
        <f t="shared" si="1"/>
        <v>0</v>
      </c>
      <c r="J23" s="14">
        <f>4697.77274848*E23*F23</f>
        <v>1409.3318245439998</v>
      </c>
      <c r="K23" s="14">
        <f>1270.7328271386*E23*F23</f>
        <v>381.21984814158</v>
      </c>
      <c r="L23" s="14">
        <f>986.927048*E23*F23</f>
        <v>296.0781144</v>
      </c>
      <c r="M23" s="14">
        <f t="shared" si="2"/>
        <v>4307.963182937579</v>
      </c>
      <c r="N23" s="18">
        <f>IF(N4&gt;0,(M23/$N$4/12),0)</f>
        <v>1.1966564397048831</v>
      </c>
    </row>
    <row r="24" spans="2:14" ht="24">
      <c r="B24" s="9">
        <v>17</v>
      </c>
      <c r="C24" s="7" t="s">
        <v>47</v>
      </c>
      <c r="D24" s="7" t="s">
        <v>46</v>
      </c>
      <c r="E24" s="11">
        <v>0.3</v>
      </c>
      <c r="F24" s="11">
        <v>2</v>
      </c>
      <c r="G24" s="14">
        <f>82.934982*E24*F24</f>
        <v>49.760989200000004</v>
      </c>
      <c r="H24" s="14">
        <f aca="true" t="shared" si="3" ref="H24:H34">0*E24*F24</f>
        <v>0</v>
      </c>
      <c r="I24" s="14">
        <f t="shared" si="1"/>
        <v>0</v>
      </c>
      <c r="J24" s="14">
        <f>78.954102864*E24*F24</f>
        <v>47.372461718400004</v>
      </c>
      <c r="K24" s="14">
        <f>16.99835391072*E24*F24</f>
        <v>10.199012346432</v>
      </c>
      <c r="L24" s="14">
        <f>16.5869964*E24*F24</f>
        <v>9.95219784</v>
      </c>
      <c r="M24" s="14">
        <f t="shared" si="2"/>
        <v>117.284661104832</v>
      </c>
      <c r="N24" s="18">
        <f>IF(N4&gt;0,(M24/$N$4/12),0)</f>
        <v>0.03257907252912</v>
      </c>
    </row>
    <row r="25" spans="2:14" ht="24">
      <c r="B25" s="9">
        <v>18</v>
      </c>
      <c r="C25" s="7" t="s">
        <v>48</v>
      </c>
      <c r="D25" s="7" t="s">
        <v>46</v>
      </c>
      <c r="E25" s="11">
        <v>0.3</v>
      </c>
      <c r="F25" s="11">
        <v>2</v>
      </c>
      <c r="G25" s="14">
        <f>2347.54492*E25*F25</f>
        <v>1408.526952</v>
      </c>
      <c r="H25" s="14">
        <f t="shared" si="3"/>
        <v>0</v>
      </c>
      <c r="I25" s="14">
        <f t="shared" si="1"/>
        <v>0</v>
      </c>
      <c r="J25" s="14">
        <f>2234.86276384*E25*F25</f>
        <v>1340.9176583039998</v>
      </c>
      <c r="K25" s="14">
        <f>481.1528068032*E25*F25</f>
        <v>288.69168408192</v>
      </c>
      <c r="L25" s="14">
        <f>469.508984*E25*F25</f>
        <v>281.7053904</v>
      </c>
      <c r="M25" s="14">
        <f t="shared" si="2"/>
        <v>3319.84168478592</v>
      </c>
      <c r="N25" s="18">
        <f>IF(N4&gt;0,(M25/$N$4/12),0)</f>
        <v>0.9221782457738666</v>
      </c>
    </row>
    <row r="26" spans="2:14" ht="24">
      <c r="B26" s="9">
        <v>19</v>
      </c>
      <c r="C26" s="7" t="s">
        <v>49</v>
      </c>
      <c r="D26" s="7" t="s">
        <v>46</v>
      </c>
      <c r="E26" s="11">
        <v>0.3</v>
      </c>
      <c r="F26" s="11">
        <v>2</v>
      </c>
      <c r="G26" s="14">
        <f>598.8635*E26*F26</f>
        <v>359.3181</v>
      </c>
      <c r="H26" s="14">
        <f t="shared" si="3"/>
        <v>0</v>
      </c>
      <c r="I26" s="14">
        <f t="shared" si="1"/>
        <v>0</v>
      </c>
      <c r="J26" s="14">
        <f>570.118052*E26*F26</f>
        <v>342.0708312</v>
      </c>
      <c r="K26" s="14">
        <f>122.74306296*E26*F26</f>
        <v>73.645837776</v>
      </c>
      <c r="L26" s="14">
        <f>119.7727*E26*F26</f>
        <v>71.86362</v>
      </c>
      <c r="M26" s="14">
        <f t="shared" si="2"/>
        <v>846.898388976</v>
      </c>
      <c r="N26" s="18">
        <f>IF(N4&gt;0,(M26/$N$4/12),0)</f>
        <v>0.23524955249333332</v>
      </c>
    </row>
    <row r="27" spans="2:14" ht="12">
      <c r="B27" s="9">
        <v>20</v>
      </c>
      <c r="C27" s="7" t="s">
        <v>50</v>
      </c>
      <c r="D27" s="7" t="s">
        <v>51</v>
      </c>
      <c r="E27" s="11">
        <v>0.1</v>
      </c>
      <c r="F27" s="11">
        <v>1</v>
      </c>
      <c r="G27" s="14">
        <f>503.04534*E27*F27</f>
        <v>50.304534000000004</v>
      </c>
      <c r="H27" s="14">
        <f t="shared" si="3"/>
        <v>0</v>
      </c>
      <c r="I27" s="14">
        <f t="shared" si="1"/>
        <v>0</v>
      </c>
      <c r="J27" s="14">
        <f>478.89916368*E27*F27</f>
        <v>47.889916368</v>
      </c>
      <c r="K27" s="14">
        <f>103.1041728864*E27*F27</f>
        <v>10.31041728864</v>
      </c>
      <c r="L27" s="14">
        <f>100.609068*E27*F27</f>
        <v>10.0609068</v>
      </c>
      <c r="M27" s="14">
        <f t="shared" si="2"/>
        <v>118.56577445664</v>
      </c>
      <c r="N27" s="18">
        <f>IF(N4&gt;0,(M27/$N$4/12),0)</f>
        <v>0.03293493734906667</v>
      </c>
    </row>
    <row r="28" spans="2:14" ht="12">
      <c r="B28" s="9">
        <v>21</v>
      </c>
      <c r="C28" s="7" t="s">
        <v>52</v>
      </c>
      <c r="D28" s="7" t="s">
        <v>51</v>
      </c>
      <c r="E28" s="11">
        <v>0.1</v>
      </c>
      <c r="F28" s="11">
        <v>1</v>
      </c>
      <c r="G28" s="14">
        <f>268.290848*E28*F28</f>
        <v>26.8290848</v>
      </c>
      <c r="H28" s="14">
        <f t="shared" si="3"/>
        <v>0</v>
      </c>
      <c r="I28" s="14">
        <f t="shared" si="1"/>
        <v>0</v>
      </c>
      <c r="J28" s="14">
        <f>255.412887296*E28*F28</f>
        <v>25.5412887296</v>
      </c>
      <c r="K28" s="14">
        <f>54.98889220608*E28*F28</f>
        <v>5.4988892206080004</v>
      </c>
      <c r="L28" s="14">
        <f>53.6581696*E28*F28</f>
        <v>5.36581696</v>
      </c>
      <c r="M28" s="14">
        <f t="shared" si="2"/>
        <v>63.235079710208</v>
      </c>
      <c r="N28" s="18">
        <f>IF(N4&gt;0,(M28/$N$4/12),0)</f>
        <v>0.01756529991950222</v>
      </c>
    </row>
    <row r="29" spans="2:14" ht="24">
      <c r="B29" s="9">
        <v>22</v>
      </c>
      <c r="C29" s="7" t="s">
        <v>53</v>
      </c>
      <c r="D29" s="7" t="s">
        <v>46</v>
      </c>
      <c r="E29" s="11">
        <v>0.3</v>
      </c>
      <c r="F29" s="11">
        <v>2</v>
      </c>
      <c r="G29" s="14">
        <f>718.6362*E29*F29</f>
        <v>431.18172</v>
      </c>
      <c r="H29" s="14">
        <f t="shared" si="3"/>
        <v>0</v>
      </c>
      <c r="I29" s="14">
        <f t="shared" si="1"/>
        <v>0</v>
      </c>
      <c r="J29" s="14">
        <f>684.1416624*E29*F29</f>
        <v>410.48499744</v>
      </c>
      <c r="K29" s="14">
        <f>147.291675552*E29*F29</f>
        <v>88.37500533119999</v>
      </c>
      <c r="L29" s="14">
        <f>143.72724*E29*F29</f>
        <v>86.23634399999999</v>
      </c>
      <c r="M29" s="14">
        <f t="shared" si="2"/>
        <v>1016.2780667712</v>
      </c>
      <c r="N29" s="18">
        <f>IF(N4&gt;0,(M29/$N$4/12),0)</f>
        <v>0.282299462992</v>
      </c>
    </row>
    <row r="30" spans="2:14" ht="12">
      <c r="B30" s="9">
        <v>23</v>
      </c>
      <c r="C30" s="7" t="s">
        <v>54</v>
      </c>
      <c r="D30" s="7" t="s">
        <v>55</v>
      </c>
      <c r="E30" s="11">
        <v>0.5</v>
      </c>
      <c r="F30" s="11">
        <v>1</v>
      </c>
      <c r="G30" s="14">
        <f>718.6362*E30*F30</f>
        <v>359.3181</v>
      </c>
      <c r="H30" s="14">
        <f t="shared" si="3"/>
        <v>0</v>
      </c>
      <c r="I30" s="14">
        <f t="shared" si="1"/>
        <v>0</v>
      </c>
      <c r="J30" s="14">
        <f>684.1416624*E30*F30</f>
        <v>342.0708312</v>
      </c>
      <c r="K30" s="14">
        <f>147.291675552*E30*F30</f>
        <v>73.645837776</v>
      </c>
      <c r="L30" s="14">
        <f>143.72724*E30*F30</f>
        <v>71.86362</v>
      </c>
      <c r="M30" s="14">
        <f t="shared" si="2"/>
        <v>846.898388976</v>
      </c>
      <c r="N30" s="18">
        <f>IF(N4&gt;0,(M30/$N$4/12),0)</f>
        <v>0.23524955249333332</v>
      </c>
    </row>
    <row r="31" spans="2:14" ht="24">
      <c r="B31" s="9">
        <v>24</v>
      </c>
      <c r="C31" s="7" t="s">
        <v>56</v>
      </c>
      <c r="D31" s="7" t="s">
        <v>46</v>
      </c>
      <c r="E31" s="11">
        <v>0.3</v>
      </c>
      <c r="F31" s="11">
        <v>1</v>
      </c>
      <c r="G31" s="14">
        <f>893.14596*E31*F31</f>
        <v>267.943788</v>
      </c>
      <c r="H31" s="14">
        <f t="shared" si="3"/>
        <v>0</v>
      </c>
      <c r="I31" s="14">
        <f t="shared" si="1"/>
        <v>0</v>
      </c>
      <c r="J31" s="14">
        <f>850.27495392*E31*F31</f>
        <v>255.082486176</v>
      </c>
      <c r="K31" s="14">
        <f>183.0591959616*E31*F31</f>
        <v>54.91775878848</v>
      </c>
      <c r="L31" s="14">
        <f>178.629192*E31*F31</f>
        <v>53.588757599999994</v>
      </c>
      <c r="M31" s="14">
        <f t="shared" si="2"/>
        <v>631.53279056448</v>
      </c>
      <c r="N31" s="18">
        <f>IF(N4&gt;0,(M31/$N$4/12),0)</f>
        <v>0.17542577515680002</v>
      </c>
    </row>
    <row r="32" spans="2:14" ht="24">
      <c r="B32" s="9">
        <v>25</v>
      </c>
      <c r="C32" s="7" t="s">
        <v>57</v>
      </c>
      <c r="D32" s="7" t="s">
        <v>46</v>
      </c>
      <c r="E32" s="11">
        <v>0.3</v>
      </c>
      <c r="F32" s="11">
        <v>1</v>
      </c>
      <c r="G32" s="14">
        <f>893.14596*E32*F32</f>
        <v>267.943788</v>
      </c>
      <c r="H32" s="14">
        <f t="shared" si="3"/>
        <v>0</v>
      </c>
      <c r="I32" s="14">
        <f t="shared" si="1"/>
        <v>0</v>
      </c>
      <c r="J32" s="14">
        <f>850.27495392*E32*F32</f>
        <v>255.082486176</v>
      </c>
      <c r="K32" s="14">
        <f>183.0591959616*E32*F32</f>
        <v>54.91775878848</v>
      </c>
      <c r="L32" s="14">
        <f>178.629192*E32*F32</f>
        <v>53.588757599999994</v>
      </c>
      <c r="M32" s="14">
        <f t="shared" si="2"/>
        <v>631.53279056448</v>
      </c>
      <c r="N32" s="18">
        <f>IF(N4&gt;0,(M32/$N$4/12),0)</f>
        <v>0.17542577515680002</v>
      </c>
    </row>
    <row r="33" spans="2:14" ht="36">
      <c r="B33" s="9">
        <v>26</v>
      </c>
      <c r="C33" s="7" t="s">
        <v>58</v>
      </c>
      <c r="D33" s="7" t="s">
        <v>59</v>
      </c>
      <c r="E33" s="11">
        <v>1</v>
      </c>
      <c r="F33" s="11">
        <v>1</v>
      </c>
      <c r="G33" s="14">
        <f>23.95454*E33*F33</f>
        <v>23.95454</v>
      </c>
      <c r="H33" s="14">
        <f t="shared" si="3"/>
        <v>0</v>
      </c>
      <c r="I33" s="14">
        <f t="shared" si="1"/>
        <v>0</v>
      </c>
      <c r="J33" s="14">
        <f>22.80472208*E33*F33</f>
        <v>22.80472208</v>
      </c>
      <c r="K33" s="14">
        <f>4.9097225184*E33*F33</f>
        <v>4.9097225184</v>
      </c>
      <c r="L33" s="14">
        <f>4.790908*E33*F33</f>
        <v>4.790908</v>
      </c>
      <c r="M33" s="14">
        <f t="shared" si="2"/>
        <v>56.4598925984</v>
      </c>
      <c r="N33" s="18">
        <f>IF(N4&gt;0,(M33/$N$4/12),0)</f>
        <v>0.015683303499555556</v>
      </c>
    </row>
    <row r="34" spans="2:14" ht="84">
      <c r="B34" s="9">
        <v>27</v>
      </c>
      <c r="C34" s="7" t="s">
        <v>60</v>
      </c>
      <c r="D34" s="7" t="s">
        <v>61</v>
      </c>
      <c r="E34" s="11">
        <v>0.3</v>
      </c>
      <c r="F34" s="11">
        <v>1</v>
      </c>
      <c r="G34" s="14">
        <f>2442.503052*E34*F34</f>
        <v>732.7509156</v>
      </c>
      <c r="H34" s="14">
        <f t="shared" si="3"/>
        <v>0</v>
      </c>
      <c r="I34" s="14">
        <f t="shared" si="1"/>
        <v>0</v>
      </c>
      <c r="J34" s="14">
        <f>2325.262905504*E34*F34</f>
        <v>697.5788716512001</v>
      </c>
      <c r="K34" s="14">
        <f>500.61542553792*E34*F34</f>
        <v>150.184627661376</v>
      </c>
      <c r="L34" s="14">
        <f>488.5006104*E34*F34</f>
        <v>146.55018312</v>
      </c>
      <c r="M34" s="14">
        <f t="shared" si="2"/>
        <v>1727.064598032576</v>
      </c>
      <c r="N34" s="18">
        <f>IF(N4&gt;0,(M34/$N$4/12),0)</f>
        <v>0.47974016612015996</v>
      </c>
    </row>
    <row r="35" spans="2:14" ht="19.5" customHeight="1">
      <c r="B35" s="43" t="s">
        <v>25</v>
      </c>
      <c r="C35" s="44"/>
      <c r="D35" s="44"/>
      <c r="E35" s="44"/>
      <c r="F35" s="44"/>
      <c r="G35" s="15">
        <f aca="true" t="shared" si="4" ref="G35:N35">SUM(G13:G34)</f>
        <v>16078.084088400006</v>
      </c>
      <c r="H35" s="15">
        <f t="shared" si="4"/>
        <v>3630.4457432264885</v>
      </c>
      <c r="I35" s="15">
        <f t="shared" si="4"/>
        <v>0</v>
      </c>
      <c r="J35" s="15">
        <f t="shared" si="4"/>
        <v>15306.336052156801</v>
      </c>
      <c r="K35" s="15">
        <f t="shared" si="4"/>
        <v>3676.5609177972024</v>
      </c>
      <c r="L35" s="15">
        <f t="shared" si="4"/>
        <v>3215.6168176799997</v>
      </c>
      <c r="M35" s="15">
        <f t="shared" si="4"/>
        <v>41907.0436192605</v>
      </c>
      <c r="N35" s="19">
        <f t="shared" si="4"/>
        <v>11.64084544979458</v>
      </c>
    </row>
    <row r="36" spans="2:14" ht="21.75" customHeight="1">
      <c r="B36" s="39" t="s">
        <v>62</v>
      </c>
      <c r="C36" s="40"/>
      <c r="D36" s="40"/>
      <c r="E36" s="40"/>
      <c r="F36" s="40"/>
      <c r="G36" s="41"/>
      <c r="H36" s="41"/>
      <c r="I36" s="41"/>
      <c r="J36" s="41"/>
      <c r="K36" s="41"/>
      <c r="L36" s="41"/>
      <c r="M36" s="41"/>
      <c r="N36" s="42"/>
    </row>
    <row r="37" spans="2:14" ht="12">
      <c r="B37" s="8">
        <v>28</v>
      </c>
      <c r="C37" s="6" t="s">
        <v>63</v>
      </c>
      <c r="D37" s="6" t="s">
        <v>64</v>
      </c>
      <c r="E37" s="10">
        <v>0.02</v>
      </c>
      <c r="F37" s="10">
        <v>104</v>
      </c>
      <c r="G37" s="13">
        <f>431.475796*E37*F37</f>
        <v>897.4696556800001</v>
      </c>
      <c r="H37" s="13">
        <f>449.51675*E37*F37</f>
        <v>934.99484</v>
      </c>
      <c r="I37" s="13">
        <f>0*E37*F37</f>
        <v>0</v>
      </c>
      <c r="J37" s="13">
        <f>410.764957792*E37*F37</f>
        <v>854.39111220736</v>
      </c>
      <c r="K37" s="13">
        <f>135.63453789816*E37*F37</f>
        <v>282.1198388281728</v>
      </c>
      <c r="L37" s="13">
        <f>86.2951592*E37*F37</f>
        <v>179.49393113600001</v>
      </c>
      <c r="M37" s="13">
        <f>SUM(G37:L37)</f>
        <v>3148.4693778515325</v>
      </c>
      <c r="N37" s="17">
        <f>IF(N4&gt;0,(M37/$N$4/12),0)</f>
        <v>0.8745748271809813</v>
      </c>
    </row>
    <row r="38" spans="2:14" ht="24">
      <c r="B38" s="9">
        <v>29</v>
      </c>
      <c r="C38" s="7" t="s">
        <v>65</v>
      </c>
      <c r="D38" s="7" t="s">
        <v>66</v>
      </c>
      <c r="E38" s="11">
        <v>1</v>
      </c>
      <c r="F38" s="11">
        <v>2</v>
      </c>
      <c r="G38" s="14">
        <f>21.484272*E38*F38</f>
        <v>42.968544</v>
      </c>
      <c r="H38" s="14">
        <f>0*E38*F38</f>
        <v>0</v>
      </c>
      <c r="I38" s="14">
        <f>0*E38*F38</f>
        <v>0</v>
      </c>
      <c r="J38" s="14">
        <f>20.453026944*E38*F38</f>
        <v>40.906053888</v>
      </c>
      <c r="K38" s="14">
        <f>4.40341638912*E38*F38</f>
        <v>8.80683277824</v>
      </c>
      <c r="L38" s="14">
        <f>4.2968544*E38*F38</f>
        <v>8.5937088</v>
      </c>
      <c r="M38" s="14">
        <f>SUM(G38:L38)</f>
        <v>101.27513946624</v>
      </c>
      <c r="N38" s="18">
        <f>IF(N4&gt;0,(M38/$N$4/12),0)</f>
        <v>0.02813198318506667</v>
      </c>
    </row>
    <row r="39" spans="2:14" ht="24">
      <c r="B39" s="9">
        <v>30</v>
      </c>
      <c r="C39" s="7" t="s">
        <v>67</v>
      </c>
      <c r="D39" s="7" t="s">
        <v>68</v>
      </c>
      <c r="E39" s="11">
        <v>0.5</v>
      </c>
      <c r="F39" s="11">
        <v>3</v>
      </c>
      <c r="G39" s="14">
        <f>483.39612*E39*F39</f>
        <v>725.09418</v>
      </c>
      <c r="H39" s="14">
        <f>0*E39*F39</f>
        <v>0</v>
      </c>
      <c r="I39" s="14">
        <f>0*E39*F39</f>
        <v>0</v>
      </c>
      <c r="J39" s="14">
        <f>460.19310624*E39*F39</f>
        <v>690.2896593600001</v>
      </c>
      <c r="K39" s="14">
        <f>99.0768687552*E39*F39</f>
        <v>148.6153031328</v>
      </c>
      <c r="L39" s="14">
        <f>96.679224*E39*F39</f>
        <v>145.01883600000002</v>
      </c>
      <c r="M39" s="14">
        <f>SUM(G39:L39)</f>
        <v>1709.0179784928</v>
      </c>
      <c r="N39" s="18">
        <f>IF(N4&gt;0,(M39/$N$4/12),0)</f>
        <v>0.474727216248</v>
      </c>
    </row>
    <row r="40" spans="2:14" ht="12.75">
      <c r="B40" s="43" t="s">
        <v>25</v>
      </c>
      <c r="C40" s="44"/>
      <c r="D40" s="44"/>
      <c r="E40" s="44"/>
      <c r="F40" s="44"/>
      <c r="G40" s="15">
        <f aca="true" t="shared" si="5" ref="G40:N40">SUM(G37:G39)</f>
        <v>1665.53237968</v>
      </c>
      <c r="H40" s="15">
        <f t="shared" si="5"/>
        <v>934.99484</v>
      </c>
      <c r="I40" s="15">
        <f t="shared" si="5"/>
        <v>0</v>
      </c>
      <c r="J40" s="15">
        <f t="shared" si="5"/>
        <v>1585.5868254553602</v>
      </c>
      <c r="K40" s="15">
        <f t="shared" si="5"/>
        <v>439.54197473921283</v>
      </c>
      <c r="L40" s="15">
        <f t="shared" si="5"/>
        <v>333.10647593600004</v>
      </c>
      <c r="M40" s="15">
        <f t="shared" si="5"/>
        <v>4958.762495810573</v>
      </c>
      <c r="N40" s="19">
        <f t="shared" si="5"/>
        <v>1.3774340266140481</v>
      </c>
    </row>
    <row r="41" spans="2:14" ht="27.75" customHeight="1">
      <c r="B41" s="45" t="s">
        <v>69</v>
      </c>
      <c r="C41" s="46"/>
      <c r="D41" s="46"/>
      <c r="E41" s="46"/>
      <c r="F41" s="46"/>
      <c r="G41" s="20">
        <f aca="true" t="shared" si="6" ref="G41:N41">G11+G35+G40</f>
        <v>19713.489268620007</v>
      </c>
      <c r="H41" s="20">
        <f t="shared" si="6"/>
        <v>7707.008913646769</v>
      </c>
      <c r="I41" s="20">
        <f t="shared" si="6"/>
        <v>200.10728178</v>
      </c>
      <c r="J41" s="20">
        <f t="shared" si="6"/>
        <v>18828.8686881288</v>
      </c>
      <c r="K41" s="20">
        <f t="shared" si="6"/>
        <v>4877.1947859783795</v>
      </c>
      <c r="L41" s="20">
        <f t="shared" si="6"/>
        <v>3955.6446823799997</v>
      </c>
      <c r="M41" s="20">
        <f t="shared" si="6"/>
        <v>55282.313620533954</v>
      </c>
      <c r="N41" s="21">
        <f t="shared" si="6"/>
        <v>15.356198227926098</v>
      </c>
    </row>
    <row r="45" spans="3:14" ht="18">
      <c r="C45" s="47" t="s">
        <v>70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3:11" ht="19.5" customHeight="1">
      <c r="C46" s="48" t="s">
        <v>71</v>
      </c>
      <c r="D46" s="36"/>
      <c r="E46" s="49">
        <f>G41</f>
        <v>19713.489268620007</v>
      </c>
      <c r="F46" s="36"/>
      <c r="G46" s="48" t="s">
        <v>72</v>
      </c>
      <c r="H46" s="36"/>
      <c r="I46" s="36"/>
      <c r="J46" s="49">
        <f>J41</f>
        <v>18828.8686881288</v>
      </c>
      <c r="K46" s="36"/>
    </row>
    <row r="47" spans="3:11" ht="19.5" customHeight="1">
      <c r="C47" s="48" t="s">
        <v>73</v>
      </c>
      <c r="D47" s="36"/>
      <c r="E47" s="49">
        <f>H41</f>
        <v>7707.008913646769</v>
      </c>
      <c r="F47" s="36"/>
      <c r="G47" s="48" t="s">
        <v>74</v>
      </c>
      <c r="H47" s="36"/>
      <c r="I47" s="36"/>
      <c r="J47" s="49">
        <f>K41</f>
        <v>4877.1947859783795</v>
      </c>
      <c r="K47" s="36"/>
    </row>
    <row r="48" spans="3:11" ht="19.5" customHeight="1">
      <c r="C48" s="48" t="s">
        <v>75</v>
      </c>
      <c r="D48" s="36"/>
      <c r="E48" s="49">
        <f>I41</f>
        <v>200.10728178</v>
      </c>
      <c r="F48" s="36"/>
      <c r="G48" s="48" t="s">
        <v>76</v>
      </c>
      <c r="H48" s="36"/>
      <c r="I48" s="36"/>
      <c r="J48" s="49">
        <f>L41</f>
        <v>3955.6446823799997</v>
      </c>
      <c r="K48" s="36"/>
    </row>
    <row r="49" spans="3:11" ht="15">
      <c r="C49" s="5"/>
      <c r="E49" s="22"/>
      <c r="G49" s="48" t="s">
        <v>77</v>
      </c>
      <c r="H49" s="36"/>
      <c r="I49" s="36"/>
      <c r="J49" s="49">
        <f>M41</f>
        <v>55282.313620533954</v>
      </c>
      <c r="K49" s="36"/>
    </row>
  </sheetData>
  <sheetProtection formatCells="0" formatColumns="0" formatRows="0" insertColumns="0" insertRows="0" insertHyperlinks="0" deleteColumns="0" deleteRows="0" sort="0" autoFilter="0" pivotTables="0"/>
  <mergeCells count="25">
    <mergeCell ref="G49:I49"/>
    <mergeCell ref="J49:K49"/>
    <mergeCell ref="C47:D47"/>
    <mergeCell ref="E47:F47"/>
    <mergeCell ref="G47:I47"/>
    <mergeCell ref="J47:K47"/>
    <mergeCell ref="C48:D48"/>
    <mergeCell ref="E48:F48"/>
    <mergeCell ref="G48:I48"/>
    <mergeCell ref="J48:K48"/>
    <mergeCell ref="B35:F35"/>
    <mergeCell ref="B36:N36"/>
    <mergeCell ref="B40:F40"/>
    <mergeCell ref="B41:F41"/>
    <mergeCell ref="C45:N45"/>
    <mergeCell ref="C46:D46"/>
    <mergeCell ref="E46:F46"/>
    <mergeCell ref="G46:I46"/>
    <mergeCell ref="J46:K46"/>
    <mergeCell ref="B1:M1"/>
    <mergeCell ref="B4:K4"/>
    <mergeCell ref="L4:M4"/>
    <mergeCell ref="B5:N5"/>
    <mergeCell ref="B11:F11"/>
    <mergeCell ref="B12:N12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workbookViewId="0" topLeftCell="B1">
      <selection activeCell="B83" sqref="B83:G83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0" t="s">
        <v>78</v>
      </c>
      <c r="C1" s="50"/>
      <c r="D1" s="50"/>
      <c r="E1" s="50"/>
      <c r="F1" s="50"/>
      <c r="G1" s="50"/>
    </row>
    <row r="3" spans="1:7" ht="27">
      <c r="A3" s="23"/>
      <c r="B3" s="24" t="s">
        <v>0</v>
      </c>
      <c r="C3" s="24" t="s">
        <v>79</v>
      </c>
      <c r="D3" s="24" t="s">
        <v>80</v>
      </c>
      <c r="E3" s="24" t="s">
        <v>3</v>
      </c>
      <c r="F3" s="24" t="s">
        <v>81</v>
      </c>
      <c r="G3" s="25" t="s">
        <v>11</v>
      </c>
    </row>
    <row r="4" spans="2:7" ht="16.5">
      <c r="B4" s="51" t="s">
        <v>82</v>
      </c>
      <c r="C4" s="51"/>
      <c r="D4" s="51"/>
      <c r="E4" s="51"/>
      <c r="F4" s="51"/>
      <c r="G4" s="51"/>
    </row>
    <row r="5" spans="2:7" ht="12">
      <c r="B5" s="26">
        <v>1</v>
      </c>
      <c r="C5" s="28" t="s">
        <v>83</v>
      </c>
      <c r="D5" s="28" t="s">
        <v>84</v>
      </c>
      <c r="E5" s="29">
        <v>3.7989</v>
      </c>
      <c r="F5" s="30">
        <v>201.1986</v>
      </c>
      <c r="G5" s="31">
        <f aca="true" t="shared" si="0" ref="G5:G31">E5*F5</f>
        <v>764.33336154</v>
      </c>
    </row>
    <row r="6" spans="2:7" ht="12">
      <c r="B6" s="27">
        <v>2</v>
      </c>
      <c r="C6" s="7" t="s">
        <v>85</v>
      </c>
      <c r="D6" s="7" t="s">
        <v>84</v>
      </c>
      <c r="E6" s="12">
        <v>0.112</v>
      </c>
      <c r="F6" s="14">
        <v>239.54539999999997</v>
      </c>
      <c r="G6" s="32">
        <f t="shared" si="0"/>
        <v>26.829084799999997</v>
      </c>
    </row>
    <row r="7" spans="2:7" ht="12">
      <c r="B7" s="27">
        <v>3</v>
      </c>
      <c r="C7" s="7" t="s">
        <v>86</v>
      </c>
      <c r="D7" s="7" t="s">
        <v>84</v>
      </c>
      <c r="E7" s="12">
        <v>5.2528</v>
      </c>
      <c r="F7" s="14">
        <v>179.0356</v>
      </c>
      <c r="G7" s="32">
        <f t="shared" si="0"/>
        <v>940.4381996799999</v>
      </c>
    </row>
    <row r="8" spans="2:7" ht="12">
      <c r="B8" s="27">
        <v>4</v>
      </c>
      <c r="C8" s="7" t="s">
        <v>87</v>
      </c>
      <c r="D8" s="7" t="s">
        <v>84</v>
      </c>
      <c r="E8" s="12">
        <v>0.645</v>
      </c>
      <c r="F8" s="14">
        <v>192.23719999999997</v>
      </c>
      <c r="G8" s="32">
        <f t="shared" si="0"/>
        <v>123.99299399999998</v>
      </c>
    </row>
    <row r="9" spans="2:7" ht="12">
      <c r="B9" s="27">
        <v>5</v>
      </c>
      <c r="C9" s="7" t="s">
        <v>88</v>
      </c>
      <c r="D9" s="7" t="s">
        <v>84</v>
      </c>
      <c r="E9" s="12">
        <v>0.645</v>
      </c>
      <c r="F9" s="14">
        <v>212.6538</v>
      </c>
      <c r="G9" s="32">
        <f t="shared" si="0"/>
        <v>137.161701</v>
      </c>
    </row>
    <row r="10" spans="2:7" ht="12">
      <c r="B10" s="27">
        <v>6</v>
      </c>
      <c r="C10" s="7" t="s">
        <v>89</v>
      </c>
      <c r="D10" s="7" t="s">
        <v>84</v>
      </c>
      <c r="E10" s="12">
        <v>2.28</v>
      </c>
      <c r="F10" s="14">
        <v>239.54539999999997</v>
      </c>
      <c r="G10" s="32">
        <f t="shared" si="0"/>
        <v>546.1635119999999</v>
      </c>
    </row>
    <row r="11" spans="2:7" ht="12">
      <c r="B11" s="27">
        <v>7</v>
      </c>
      <c r="C11" s="7" t="s">
        <v>90</v>
      </c>
      <c r="D11" s="7" t="s">
        <v>84</v>
      </c>
      <c r="E11" s="12">
        <v>0.434</v>
      </c>
      <c r="F11" s="14">
        <v>212.6538</v>
      </c>
      <c r="G11" s="32">
        <f t="shared" si="0"/>
        <v>92.2917492</v>
      </c>
    </row>
    <row r="12" spans="2:7" ht="24">
      <c r="B12" s="27">
        <v>8</v>
      </c>
      <c r="C12" s="7" t="s">
        <v>91</v>
      </c>
      <c r="D12" s="7" t="s">
        <v>84</v>
      </c>
      <c r="E12" s="12">
        <v>1.225</v>
      </c>
      <c r="F12" s="14">
        <v>192.23719999999997</v>
      </c>
      <c r="G12" s="32">
        <f t="shared" si="0"/>
        <v>235.49057</v>
      </c>
    </row>
    <row r="13" spans="2:7" ht="24">
      <c r="B13" s="27">
        <v>9</v>
      </c>
      <c r="C13" s="7" t="s">
        <v>92</v>
      </c>
      <c r="D13" s="7" t="s">
        <v>84</v>
      </c>
      <c r="E13" s="12">
        <v>1.225</v>
      </c>
      <c r="F13" s="14">
        <v>212.6538</v>
      </c>
      <c r="G13" s="32">
        <f t="shared" si="0"/>
        <v>260.500905</v>
      </c>
    </row>
    <row r="14" spans="2:7" ht="12">
      <c r="B14" s="27">
        <v>10</v>
      </c>
      <c r="C14" s="7" t="s">
        <v>93</v>
      </c>
      <c r="D14" s="7" t="s">
        <v>84</v>
      </c>
      <c r="E14" s="12">
        <v>1.88</v>
      </c>
      <c r="F14" s="14">
        <v>212.6538</v>
      </c>
      <c r="G14" s="32">
        <f t="shared" si="0"/>
        <v>399.78914399999996</v>
      </c>
    </row>
    <row r="15" spans="2:7" ht="12">
      <c r="B15" s="27">
        <v>11</v>
      </c>
      <c r="C15" s="7" t="s">
        <v>94</v>
      </c>
      <c r="D15" s="7" t="s">
        <v>84</v>
      </c>
      <c r="E15" s="12">
        <v>1.5</v>
      </c>
      <c r="F15" s="14">
        <v>239.54539999999997</v>
      </c>
      <c r="G15" s="32">
        <f t="shared" si="0"/>
        <v>359.31809999999996</v>
      </c>
    </row>
    <row r="16" spans="2:7" ht="12">
      <c r="B16" s="27">
        <v>12</v>
      </c>
      <c r="C16" s="7" t="s">
        <v>95</v>
      </c>
      <c r="D16" s="7" t="s">
        <v>84</v>
      </c>
      <c r="E16" s="12">
        <v>0.66</v>
      </c>
      <c r="F16" s="14">
        <v>192.23719999999997</v>
      </c>
      <c r="G16" s="32">
        <f t="shared" si="0"/>
        <v>126.87655199999999</v>
      </c>
    </row>
    <row r="17" spans="2:7" ht="12">
      <c r="B17" s="27">
        <v>13</v>
      </c>
      <c r="C17" s="7" t="s">
        <v>96</v>
      </c>
      <c r="D17" s="7" t="s">
        <v>84</v>
      </c>
      <c r="E17" s="12">
        <v>0.66</v>
      </c>
      <c r="F17" s="14">
        <v>212.6538</v>
      </c>
      <c r="G17" s="32">
        <f t="shared" si="0"/>
        <v>140.351508</v>
      </c>
    </row>
    <row r="18" spans="2:7" ht="12">
      <c r="B18" s="27">
        <v>14</v>
      </c>
      <c r="C18" s="7" t="s">
        <v>97</v>
      </c>
      <c r="D18" s="7" t="s">
        <v>84</v>
      </c>
      <c r="E18" s="12">
        <v>0.1</v>
      </c>
      <c r="F18" s="14">
        <v>239.54539999999997</v>
      </c>
      <c r="G18" s="32">
        <f t="shared" si="0"/>
        <v>23.954539999999998</v>
      </c>
    </row>
    <row r="19" spans="2:7" ht="12">
      <c r="B19" s="27">
        <v>15</v>
      </c>
      <c r="C19" s="7" t="s">
        <v>98</v>
      </c>
      <c r="D19" s="7" t="s">
        <v>84</v>
      </c>
      <c r="E19" s="12">
        <v>7.59</v>
      </c>
      <c r="F19" s="14">
        <v>239.54539999999997</v>
      </c>
      <c r="G19" s="32">
        <f t="shared" si="0"/>
        <v>1818.1495859999998</v>
      </c>
    </row>
    <row r="20" spans="2:7" ht="12">
      <c r="B20" s="27">
        <v>16</v>
      </c>
      <c r="C20" s="7" t="s">
        <v>99</v>
      </c>
      <c r="D20" s="7" t="s">
        <v>84</v>
      </c>
      <c r="E20" s="12">
        <v>4.05</v>
      </c>
      <c r="F20" s="14">
        <v>179.0356</v>
      </c>
      <c r="G20" s="32">
        <f t="shared" si="0"/>
        <v>725.0941799999999</v>
      </c>
    </row>
    <row r="21" spans="2:7" ht="24">
      <c r="B21" s="27">
        <v>17</v>
      </c>
      <c r="C21" s="7" t="s">
        <v>100</v>
      </c>
      <c r="D21" s="7" t="s">
        <v>84</v>
      </c>
      <c r="E21" s="12">
        <v>6.52</v>
      </c>
      <c r="F21" s="14">
        <v>192.23719999999997</v>
      </c>
      <c r="G21" s="32">
        <f t="shared" si="0"/>
        <v>1253.3865439999997</v>
      </c>
    </row>
    <row r="22" spans="2:7" ht="24">
      <c r="B22" s="27">
        <v>18</v>
      </c>
      <c r="C22" s="7" t="s">
        <v>101</v>
      </c>
      <c r="D22" s="7" t="s">
        <v>84</v>
      </c>
      <c r="E22" s="12">
        <v>5.97</v>
      </c>
      <c r="F22" s="14">
        <v>212.6538</v>
      </c>
      <c r="G22" s="32">
        <f t="shared" si="0"/>
        <v>1269.5431859999999</v>
      </c>
    </row>
    <row r="23" spans="2:7" ht="24">
      <c r="B23" s="27">
        <v>19</v>
      </c>
      <c r="C23" s="7" t="s">
        <v>102</v>
      </c>
      <c r="D23" s="7" t="s">
        <v>84</v>
      </c>
      <c r="E23" s="12">
        <v>1.674</v>
      </c>
      <c r="F23" s="14">
        <v>239.54539999999997</v>
      </c>
      <c r="G23" s="32">
        <f t="shared" si="0"/>
        <v>400.99899959999993</v>
      </c>
    </row>
    <row r="24" spans="2:7" ht="12">
      <c r="B24" s="27">
        <v>20</v>
      </c>
      <c r="C24" s="7" t="s">
        <v>103</v>
      </c>
      <c r="D24" s="7" t="s">
        <v>84</v>
      </c>
      <c r="E24" s="12">
        <v>2.52</v>
      </c>
      <c r="F24" s="14">
        <v>212.6538</v>
      </c>
      <c r="G24" s="32">
        <f t="shared" si="0"/>
        <v>535.887576</v>
      </c>
    </row>
    <row r="25" spans="2:7" ht="12">
      <c r="B25" s="27">
        <v>21</v>
      </c>
      <c r="C25" s="7" t="s">
        <v>104</v>
      </c>
      <c r="D25" s="7" t="s">
        <v>84</v>
      </c>
      <c r="E25" s="12">
        <v>35.536</v>
      </c>
      <c r="F25" s="14">
        <v>212.6538</v>
      </c>
      <c r="G25" s="32">
        <f t="shared" si="0"/>
        <v>7556.8654368</v>
      </c>
    </row>
    <row r="26" spans="2:7" ht="12">
      <c r="B26" s="27">
        <v>22</v>
      </c>
      <c r="C26" s="7" t="s">
        <v>105</v>
      </c>
      <c r="D26" s="7" t="s">
        <v>84</v>
      </c>
      <c r="E26" s="12">
        <v>1.188</v>
      </c>
      <c r="F26" s="14">
        <v>239.54539999999997</v>
      </c>
      <c r="G26" s="32">
        <f t="shared" si="0"/>
        <v>284.57993519999997</v>
      </c>
    </row>
    <row r="27" spans="2:7" ht="12">
      <c r="B27" s="27">
        <v>23</v>
      </c>
      <c r="C27" s="7" t="s">
        <v>106</v>
      </c>
      <c r="D27" s="7" t="s">
        <v>84</v>
      </c>
      <c r="E27" s="12">
        <v>1.8</v>
      </c>
      <c r="F27" s="14">
        <v>239.54539999999997</v>
      </c>
      <c r="G27" s="32">
        <f t="shared" si="0"/>
        <v>431.18172</v>
      </c>
    </row>
    <row r="28" spans="2:7" ht="12">
      <c r="B28" s="27">
        <v>24</v>
      </c>
      <c r="C28" s="7" t="s">
        <v>107</v>
      </c>
      <c r="D28" s="7" t="s">
        <v>84</v>
      </c>
      <c r="E28" s="12">
        <v>3.9</v>
      </c>
      <c r="F28" s="14">
        <v>239.54539999999997</v>
      </c>
      <c r="G28" s="32">
        <f t="shared" si="0"/>
        <v>934.2270599999998</v>
      </c>
    </row>
    <row r="29" spans="2:7" ht="24">
      <c r="B29" s="27">
        <v>25</v>
      </c>
      <c r="C29" s="7" t="s">
        <v>108</v>
      </c>
      <c r="D29" s="7" t="s">
        <v>109</v>
      </c>
      <c r="E29" s="12">
        <v>0.594</v>
      </c>
      <c r="F29" s="14">
        <v>275.4058</v>
      </c>
      <c r="G29" s="32">
        <f t="shared" si="0"/>
        <v>163.5910452</v>
      </c>
    </row>
    <row r="30" spans="2:7" ht="24">
      <c r="B30" s="27">
        <v>26</v>
      </c>
      <c r="C30" s="7" t="s">
        <v>110</v>
      </c>
      <c r="D30" s="7" t="s">
        <v>84</v>
      </c>
      <c r="E30" s="12">
        <v>0.095</v>
      </c>
      <c r="F30" s="14">
        <v>212.6538</v>
      </c>
      <c r="G30" s="32">
        <f t="shared" si="0"/>
        <v>20.202111</v>
      </c>
    </row>
    <row r="31" spans="2:7" ht="24">
      <c r="B31" s="27">
        <v>27</v>
      </c>
      <c r="C31" s="7" t="s">
        <v>111</v>
      </c>
      <c r="D31" s="7" t="s">
        <v>84</v>
      </c>
      <c r="E31" s="12">
        <v>0.594</v>
      </c>
      <c r="F31" s="14">
        <v>239.54539999999997</v>
      </c>
      <c r="G31" s="32">
        <f t="shared" si="0"/>
        <v>142.28996759999998</v>
      </c>
    </row>
    <row r="32" spans="2:7" ht="12">
      <c r="B32" s="52" t="s">
        <v>112</v>
      </c>
      <c r="C32" s="53"/>
      <c r="D32" s="53"/>
      <c r="E32" s="53"/>
      <c r="F32" s="54"/>
      <c r="G32" s="33">
        <f>SUM(G5:G31)</f>
        <v>19713.48926862</v>
      </c>
    </row>
    <row r="33" spans="2:7" ht="16.5">
      <c r="B33" s="51" t="s">
        <v>113</v>
      </c>
      <c r="C33" s="51"/>
      <c r="D33" s="51"/>
      <c r="E33" s="51"/>
      <c r="F33" s="51"/>
      <c r="G33" s="51"/>
    </row>
    <row r="34" spans="2:7" ht="12">
      <c r="B34" s="26">
        <v>28</v>
      </c>
      <c r="C34" s="28" t="s">
        <v>114</v>
      </c>
      <c r="D34" s="28" t="s">
        <v>115</v>
      </c>
      <c r="E34" s="29">
        <v>0.000126</v>
      </c>
      <c r="F34" s="30">
        <v>50525.9319</v>
      </c>
      <c r="G34" s="31">
        <f aca="true" t="shared" si="1" ref="G34:G76">E34*F34</f>
        <v>6.366267419400001</v>
      </c>
    </row>
    <row r="35" spans="2:7" ht="12">
      <c r="B35" s="27">
        <v>29</v>
      </c>
      <c r="C35" s="7" t="s">
        <v>116</v>
      </c>
      <c r="D35" s="7" t="s">
        <v>117</v>
      </c>
      <c r="E35" s="12">
        <v>0.15</v>
      </c>
      <c r="F35" s="14">
        <v>3342.929</v>
      </c>
      <c r="G35" s="32">
        <f t="shared" si="1"/>
        <v>501.43935</v>
      </c>
    </row>
    <row r="36" spans="2:7" ht="24">
      <c r="B36" s="27">
        <v>30</v>
      </c>
      <c r="C36" s="7" t="s">
        <v>118</v>
      </c>
      <c r="D36" s="7" t="s">
        <v>117</v>
      </c>
      <c r="E36" s="12">
        <v>0.0015</v>
      </c>
      <c r="F36" s="14">
        <v>7244.0126</v>
      </c>
      <c r="G36" s="32">
        <f t="shared" si="1"/>
        <v>10.8660189</v>
      </c>
    </row>
    <row r="37" spans="2:7" ht="12">
      <c r="B37" s="27">
        <v>31</v>
      </c>
      <c r="C37" s="7" t="s">
        <v>119</v>
      </c>
      <c r="D37" s="7" t="s">
        <v>120</v>
      </c>
      <c r="E37" s="12">
        <v>0.4418</v>
      </c>
      <c r="F37" s="14">
        <v>42.8802</v>
      </c>
      <c r="G37" s="32">
        <f t="shared" si="1"/>
        <v>18.944472360000002</v>
      </c>
    </row>
    <row r="38" spans="2:7" ht="12">
      <c r="B38" s="27">
        <v>32</v>
      </c>
      <c r="C38" s="7" t="s">
        <v>121</v>
      </c>
      <c r="D38" s="7" t="s">
        <v>117</v>
      </c>
      <c r="E38" s="12">
        <v>0.0801</v>
      </c>
      <c r="F38" s="14">
        <v>0</v>
      </c>
      <c r="G38" s="32">
        <f t="shared" si="1"/>
        <v>0</v>
      </c>
    </row>
    <row r="39" spans="2:7" ht="12">
      <c r="B39" s="27">
        <v>33</v>
      </c>
      <c r="C39" s="7" t="s">
        <v>122</v>
      </c>
      <c r="D39" s="7" t="s">
        <v>123</v>
      </c>
      <c r="E39" s="12">
        <v>2.919</v>
      </c>
      <c r="F39" s="14">
        <v>223.5235</v>
      </c>
      <c r="G39" s="32">
        <f t="shared" si="1"/>
        <v>652.4650965000001</v>
      </c>
    </row>
    <row r="40" spans="2:7" ht="12">
      <c r="B40" s="27">
        <v>34</v>
      </c>
      <c r="C40" s="7" t="s">
        <v>124</v>
      </c>
      <c r="D40" s="7" t="s">
        <v>115</v>
      </c>
      <c r="E40" s="12">
        <v>0.0038</v>
      </c>
      <c r="F40" s="14">
        <v>44436.8456</v>
      </c>
      <c r="G40" s="32">
        <f t="shared" si="1"/>
        <v>168.86001328</v>
      </c>
    </row>
    <row r="41" spans="2:7" ht="12">
      <c r="B41" s="27">
        <v>35</v>
      </c>
      <c r="C41" s="7" t="s">
        <v>125</v>
      </c>
      <c r="D41" s="7" t="s">
        <v>115</v>
      </c>
      <c r="E41" s="12">
        <v>0.000665</v>
      </c>
      <c r="F41" s="14">
        <v>90788.7487</v>
      </c>
      <c r="G41" s="32">
        <f t="shared" si="1"/>
        <v>60.3745178855</v>
      </c>
    </row>
    <row r="42" spans="2:7" ht="12">
      <c r="B42" s="27">
        <v>36</v>
      </c>
      <c r="C42" s="7" t="s">
        <v>126</v>
      </c>
      <c r="D42" s="7" t="s">
        <v>115</v>
      </c>
      <c r="E42" s="12">
        <v>7.5E-05</v>
      </c>
      <c r="F42" s="14">
        <v>79130.06910000001</v>
      </c>
      <c r="G42" s="32">
        <f t="shared" si="1"/>
        <v>5.9347551825</v>
      </c>
    </row>
    <row r="43" spans="2:7" ht="24">
      <c r="B43" s="27">
        <v>37</v>
      </c>
      <c r="C43" s="7" t="s">
        <v>127</v>
      </c>
      <c r="D43" s="7" t="s">
        <v>128</v>
      </c>
      <c r="E43" s="12">
        <v>0.005</v>
      </c>
      <c r="F43" s="14">
        <v>10840.449200000001</v>
      </c>
      <c r="G43" s="32">
        <f t="shared" si="1"/>
        <v>54.202246</v>
      </c>
    </row>
    <row r="44" spans="2:7" ht="36">
      <c r="B44" s="27">
        <v>38</v>
      </c>
      <c r="C44" s="7" t="s">
        <v>129</v>
      </c>
      <c r="D44" s="7" t="s">
        <v>117</v>
      </c>
      <c r="E44" s="12">
        <v>0.0115</v>
      </c>
      <c r="F44" s="14">
        <v>12889.7365</v>
      </c>
      <c r="G44" s="32">
        <f t="shared" si="1"/>
        <v>148.23196975000002</v>
      </c>
    </row>
    <row r="45" spans="2:7" ht="24">
      <c r="B45" s="27">
        <v>39</v>
      </c>
      <c r="C45" s="7" t="s">
        <v>130</v>
      </c>
      <c r="D45" s="7" t="s">
        <v>117</v>
      </c>
      <c r="E45" s="12">
        <v>0.0282</v>
      </c>
      <c r="F45" s="14">
        <v>4221.5281</v>
      </c>
      <c r="G45" s="32">
        <f t="shared" si="1"/>
        <v>119.04709242000001</v>
      </c>
    </row>
    <row r="46" spans="2:7" ht="24">
      <c r="B46" s="27">
        <v>40</v>
      </c>
      <c r="C46" s="7" t="s">
        <v>131</v>
      </c>
      <c r="D46" s="7" t="s">
        <v>117</v>
      </c>
      <c r="E46" s="12">
        <v>0.0441</v>
      </c>
      <c r="F46" s="14">
        <v>4191.0545</v>
      </c>
      <c r="G46" s="32">
        <f t="shared" si="1"/>
        <v>184.82550345</v>
      </c>
    </row>
    <row r="47" spans="2:7" ht="12">
      <c r="B47" s="27">
        <v>41</v>
      </c>
      <c r="C47" s="7" t="s">
        <v>132</v>
      </c>
      <c r="D47" s="7" t="s">
        <v>133</v>
      </c>
      <c r="E47" s="12">
        <v>1</v>
      </c>
      <c r="F47" s="14">
        <v>360.272</v>
      </c>
      <c r="G47" s="32">
        <f t="shared" si="1"/>
        <v>360.272</v>
      </c>
    </row>
    <row r="48" spans="2:7" ht="12">
      <c r="B48" s="27">
        <v>42</v>
      </c>
      <c r="C48" s="7" t="s">
        <v>134</v>
      </c>
      <c r="D48" s="7" t="s">
        <v>115</v>
      </c>
      <c r="E48" s="12">
        <v>0.00192</v>
      </c>
      <c r="F48" s="14">
        <v>43753.3167</v>
      </c>
      <c r="G48" s="32">
        <f t="shared" si="1"/>
        <v>84.00636806400001</v>
      </c>
    </row>
    <row r="49" spans="2:7" ht="24">
      <c r="B49" s="27">
        <v>43</v>
      </c>
      <c r="C49" s="7" t="s">
        <v>135</v>
      </c>
      <c r="D49" s="7" t="s">
        <v>115</v>
      </c>
      <c r="E49" s="12">
        <v>0.00884</v>
      </c>
      <c r="F49" s="14">
        <v>54787.242999999995</v>
      </c>
      <c r="G49" s="32">
        <f t="shared" si="1"/>
        <v>484.31922812</v>
      </c>
    </row>
    <row r="50" spans="2:7" ht="12">
      <c r="B50" s="27">
        <v>44</v>
      </c>
      <c r="C50" s="7" t="s">
        <v>136</v>
      </c>
      <c r="D50" s="7" t="s">
        <v>133</v>
      </c>
      <c r="E50" s="12">
        <v>1</v>
      </c>
      <c r="F50" s="14">
        <v>94.6426</v>
      </c>
      <c r="G50" s="32">
        <f t="shared" si="1"/>
        <v>94.6426</v>
      </c>
    </row>
    <row r="51" spans="2:7" ht="24">
      <c r="B51" s="27">
        <v>45</v>
      </c>
      <c r="C51" s="7" t="s">
        <v>137</v>
      </c>
      <c r="D51" s="7" t="s">
        <v>123</v>
      </c>
      <c r="E51" s="12">
        <v>6.75</v>
      </c>
      <c r="F51" s="14">
        <v>134.54129999999998</v>
      </c>
      <c r="G51" s="32">
        <f t="shared" si="1"/>
        <v>908.1537749999999</v>
      </c>
    </row>
    <row r="52" spans="2:7" ht="12">
      <c r="B52" s="27">
        <v>46</v>
      </c>
      <c r="C52" s="7" t="s">
        <v>138</v>
      </c>
      <c r="D52" s="7" t="s">
        <v>115</v>
      </c>
      <c r="E52" s="12">
        <v>0.00035</v>
      </c>
      <c r="F52" s="14">
        <v>55618.8145</v>
      </c>
      <c r="G52" s="32">
        <f t="shared" si="1"/>
        <v>19.466585075</v>
      </c>
    </row>
    <row r="53" spans="2:7" ht="12">
      <c r="B53" s="27">
        <v>47</v>
      </c>
      <c r="C53" s="7" t="s">
        <v>139</v>
      </c>
      <c r="D53" s="7" t="s">
        <v>140</v>
      </c>
      <c r="E53" s="12">
        <v>0.208</v>
      </c>
      <c r="F53" s="14">
        <v>4495.1675000000005</v>
      </c>
      <c r="G53" s="32">
        <f t="shared" si="1"/>
        <v>934.9948400000001</v>
      </c>
    </row>
    <row r="54" spans="2:7" ht="12">
      <c r="B54" s="27">
        <v>48</v>
      </c>
      <c r="C54" s="7" t="s">
        <v>141</v>
      </c>
      <c r="D54" s="7" t="s">
        <v>142</v>
      </c>
      <c r="E54" s="12">
        <v>55</v>
      </c>
      <c r="F54" s="14">
        <v>2.492</v>
      </c>
      <c r="G54" s="32">
        <f t="shared" si="1"/>
        <v>137.06</v>
      </c>
    </row>
    <row r="55" spans="2:7" ht="12">
      <c r="B55" s="27">
        <v>49</v>
      </c>
      <c r="C55" s="7" t="s">
        <v>143</v>
      </c>
      <c r="D55" s="7" t="s">
        <v>115</v>
      </c>
      <c r="E55" s="12">
        <v>0.00087</v>
      </c>
      <c r="F55" s="14">
        <v>75559.79849999999</v>
      </c>
      <c r="G55" s="32">
        <f t="shared" si="1"/>
        <v>65.73702469499999</v>
      </c>
    </row>
    <row r="56" spans="2:7" ht="12">
      <c r="B56" s="27">
        <v>50</v>
      </c>
      <c r="C56" s="7" t="s">
        <v>144</v>
      </c>
      <c r="D56" s="7" t="s">
        <v>120</v>
      </c>
      <c r="E56" s="12">
        <v>0.2436</v>
      </c>
      <c r="F56" s="14">
        <v>187.434</v>
      </c>
      <c r="G56" s="32">
        <f t="shared" si="1"/>
        <v>45.6589224</v>
      </c>
    </row>
    <row r="57" spans="2:7" ht="12">
      <c r="B57" s="27">
        <v>51</v>
      </c>
      <c r="C57" s="7" t="s">
        <v>145</v>
      </c>
      <c r="D57" s="7" t="s">
        <v>120</v>
      </c>
      <c r="E57" s="12">
        <v>0.8</v>
      </c>
      <c r="F57" s="14">
        <v>127.90190000000001</v>
      </c>
      <c r="G57" s="32">
        <f t="shared" si="1"/>
        <v>102.32152000000002</v>
      </c>
    </row>
    <row r="58" spans="2:7" ht="24">
      <c r="B58" s="27">
        <v>52</v>
      </c>
      <c r="C58" s="7" t="s">
        <v>146</v>
      </c>
      <c r="D58" s="7" t="s">
        <v>117</v>
      </c>
      <c r="E58" s="12">
        <v>7.2E-06</v>
      </c>
      <c r="F58" s="14">
        <v>687.4004</v>
      </c>
      <c r="G58" s="32">
        <f t="shared" si="1"/>
        <v>0.00494928288</v>
      </c>
    </row>
    <row r="59" spans="2:7" ht="12">
      <c r="B59" s="27">
        <v>53</v>
      </c>
      <c r="C59" s="7" t="s">
        <v>147</v>
      </c>
      <c r="D59" s="7" t="s">
        <v>120</v>
      </c>
      <c r="E59" s="12">
        <v>0.0156</v>
      </c>
      <c r="F59" s="14">
        <v>287.9862</v>
      </c>
      <c r="G59" s="32">
        <f t="shared" si="1"/>
        <v>4.49258472</v>
      </c>
    </row>
    <row r="60" spans="2:7" ht="12">
      <c r="B60" s="27">
        <v>54</v>
      </c>
      <c r="C60" s="7" t="s">
        <v>148</v>
      </c>
      <c r="D60" s="7" t="s">
        <v>115</v>
      </c>
      <c r="E60" s="12">
        <v>0.0005</v>
      </c>
      <c r="F60" s="14">
        <v>49101.3</v>
      </c>
      <c r="G60" s="32">
        <f t="shared" si="1"/>
        <v>24.55065</v>
      </c>
    </row>
    <row r="61" spans="2:7" ht="24">
      <c r="B61" s="27">
        <v>55</v>
      </c>
      <c r="C61" s="7" t="s">
        <v>149</v>
      </c>
      <c r="D61" s="7" t="s">
        <v>120</v>
      </c>
      <c r="E61" s="12">
        <v>0.25</v>
      </c>
      <c r="F61" s="14">
        <v>84.55</v>
      </c>
      <c r="G61" s="32">
        <f t="shared" si="1"/>
        <v>21.1375</v>
      </c>
    </row>
    <row r="62" spans="2:7" ht="24">
      <c r="B62" s="27">
        <v>56</v>
      </c>
      <c r="C62" s="7" t="s">
        <v>150</v>
      </c>
      <c r="D62" s="7" t="s">
        <v>115</v>
      </c>
      <c r="E62" s="12">
        <v>9.6E-05</v>
      </c>
      <c r="F62" s="14">
        <v>43925.9945</v>
      </c>
      <c r="G62" s="32">
        <f t="shared" si="1"/>
        <v>4.216895472</v>
      </c>
    </row>
    <row r="63" spans="2:7" ht="12">
      <c r="B63" s="27">
        <v>57</v>
      </c>
      <c r="C63" s="7" t="s">
        <v>151</v>
      </c>
      <c r="D63" s="7" t="s">
        <v>115</v>
      </c>
      <c r="E63" s="12">
        <v>1.14E-06</v>
      </c>
      <c r="F63" s="14">
        <v>45539.1017</v>
      </c>
      <c r="G63" s="32">
        <f t="shared" si="1"/>
        <v>0.051914575938</v>
      </c>
    </row>
    <row r="64" spans="2:7" ht="12">
      <c r="B64" s="27">
        <v>58</v>
      </c>
      <c r="C64" s="7" t="s">
        <v>152</v>
      </c>
      <c r="D64" s="7" t="s">
        <v>140</v>
      </c>
      <c r="E64" s="12">
        <v>0.032</v>
      </c>
      <c r="F64" s="14">
        <v>41225.191600000006</v>
      </c>
      <c r="G64" s="32">
        <f t="shared" si="1"/>
        <v>1319.2061312000003</v>
      </c>
    </row>
    <row r="65" spans="2:7" ht="12">
      <c r="B65" s="27">
        <v>59</v>
      </c>
      <c r="C65" s="7" t="s">
        <v>153</v>
      </c>
      <c r="D65" s="7" t="s">
        <v>154</v>
      </c>
      <c r="E65" s="12">
        <v>2.5</v>
      </c>
      <c r="F65" s="14">
        <v>24.03</v>
      </c>
      <c r="G65" s="32">
        <f t="shared" si="1"/>
        <v>60.075</v>
      </c>
    </row>
    <row r="66" spans="2:7" ht="12">
      <c r="B66" s="27">
        <v>60</v>
      </c>
      <c r="C66" s="7" t="s">
        <v>155</v>
      </c>
      <c r="D66" s="7" t="s">
        <v>117</v>
      </c>
      <c r="E66" s="12">
        <v>0.002</v>
      </c>
      <c r="F66" s="14">
        <v>2794.2974</v>
      </c>
      <c r="G66" s="32">
        <f t="shared" si="1"/>
        <v>5.5885948</v>
      </c>
    </row>
    <row r="67" spans="2:7" ht="12">
      <c r="B67" s="27">
        <v>61</v>
      </c>
      <c r="C67" s="7" t="s">
        <v>156</v>
      </c>
      <c r="D67" s="7" t="s">
        <v>115</v>
      </c>
      <c r="E67" s="12">
        <v>0.0002</v>
      </c>
      <c r="F67" s="14">
        <v>66844.7405</v>
      </c>
      <c r="G67" s="32">
        <f t="shared" si="1"/>
        <v>13.3689481</v>
      </c>
    </row>
    <row r="68" spans="2:7" ht="12">
      <c r="B68" s="27">
        <v>62</v>
      </c>
      <c r="C68" s="7" t="s">
        <v>157</v>
      </c>
      <c r="D68" s="7" t="s">
        <v>115</v>
      </c>
      <c r="E68" s="12">
        <v>0.00235</v>
      </c>
      <c r="F68" s="14">
        <v>35572.8817</v>
      </c>
      <c r="G68" s="32">
        <f t="shared" si="1"/>
        <v>83.596271995</v>
      </c>
    </row>
    <row r="69" spans="2:7" ht="12">
      <c r="B69" s="27">
        <v>63</v>
      </c>
      <c r="C69" s="7" t="s">
        <v>158</v>
      </c>
      <c r="D69" s="7" t="s">
        <v>159</v>
      </c>
      <c r="E69" s="12">
        <v>0.1569</v>
      </c>
      <c r="F69" s="14">
        <v>422.1092</v>
      </c>
      <c r="G69" s="32">
        <f t="shared" si="1"/>
        <v>66.22893348000001</v>
      </c>
    </row>
    <row r="70" spans="2:7" ht="12">
      <c r="B70" s="27">
        <v>64</v>
      </c>
      <c r="C70" s="7" t="s">
        <v>160</v>
      </c>
      <c r="D70" s="7" t="s">
        <v>133</v>
      </c>
      <c r="E70" s="12">
        <v>25</v>
      </c>
      <c r="F70" s="14">
        <v>1.2370999999999999</v>
      </c>
      <c r="G70" s="32">
        <f t="shared" si="1"/>
        <v>30.927499999999995</v>
      </c>
    </row>
    <row r="71" spans="2:7" ht="24">
      <c r="B71" s="27">
        <v>65</v>
      </c>
      <c r="C71" s="7" t="s">
        <v>161</v>
      </c>
      <c r="D71" s="7" t="s">
        <v>115</v>
      </c>
      <c r="E71" s="12">
        <v>0.0001545</v>
      </c>
      <c r="F71" s="14">
        <v>264012.1899</v>
      </c>
      <c r="G71" s="32">
        <f t="shared" si="1"/>
        <v>40.789883339549995</v>
      </c>
    </row>
    <row r="72" spans="2:7" ht="12">
      <c r="B72" s="27">
        <v>66</v>
      </c>
      <c r="C72" s="7" t="s">
        <v>162</v>
      </c>
      <c r="D72" s="7" t="s">
        <v>120</v>
      </c>
      <c r="E72" s="12">
        <v>0.246</v>
      </c>
      <c r="F72" s="14">
        <v>73.3004</v>
      </c>
      <c r="G72" s="32">
        <f t="shared" si="1"/>
        <v>18.0318984</v>
      </c>
    </row>
    <row r="73" spans="2:7" ht="12">
      <c r="B73" s="27">
        <v>67</v>
      </c>
      <c r="C73" s="7" t="s">
        <v>163</v>
      </c>
      <c r="D73" s="7" t="s">
        <v>115</v>
      </c>
      <c r="E73" s="12">
        <v>0.00015</v>
      </c>
      <c r="F73" s="14">
        <v>13658.5897</v>
      </c>
      <c r="G73" s="32">
        <f t="shared" si="1"/>
        <v>2.048788455</v>
      </c>
    </row>
    <row r="74" spans="2:7" ht="12">
      <c r="B74" s="27">
        <v>68</v>
      </c>
      <c r="C74" s="7" t="s">
        <v>164</v>
      </c>
      <c r="D74" s="7" t="s">
        <v>115</v>
      </c>
      <c r="E74" s="12">
        <v>0.00053</v>
      </c>
      <c r="F74" s="14">
        <v>53199.082500000004</v>
      </c>
      <c r="G74" s="32">
        <f t="shared" si="1"/>
        <v>28.195513725</v>
      </c>
    </row>
    <row r="75" spans="2:7" ht="24">
      <c r="B75" s="27">
        <v>69</v>
      </c>
      <c r="C75" s="7" t="s">
        <v>165</v>
      </c>
      <c r="D75" s="7" t="s">
        <v>117</v>
      </c>
      <c r="E75" s="12">
        <v>0.3</v>
      </c>
      <c r="F75" s="14">
        <v>1116.5939999999998</v>
      </c>
      <c r="G75" s="32">
        <f t="shared" si="1"/>
        <v>334.97819999999996</v>
      </c>
    </row>
    <row r="76" spans="2:7" ht="12">
      <c r="B76" s="27">
        <v>70</v>
      </c>
      <c r="C76" s="7" t="s">
        <v>166</v>
      </c>
      <c r="D76" s="7" t="s">
        <v>123</v>
      </c>
      <c r="E76" s="12">
        <v>0.888</v>
      </c>
      <c r="F76" s="14">
        <v>542.0367</v>
      </c>
      <c r="G76" s="32">
        <f t="shared" si="1"/>
        <v>481.3285896</v>
      </c>
    </row>
    <row r="77" spans="2:7" ht="12">
      <c r="B77" s="52" t="s">
        <v>112</v>
      </c>
      <c r="C77" s="53"/>
      <c r="D77" s="53"/>
      <c r="E77" s="53"/>
      <c r="F77" s="54"/>
      <c r="G77" s="33">
        <f>SUM(G34:G76)</f>
        <v>7707.008913646769</v>
      </c>
    </row>
    <row r="78" spans="2:7" ht="16.5">
      <c r="B78" s="51" t="s">
        <v>167</v>
      </c>
      <c r="C78" s="51"/>
      <c r="D78" s="51"/>
      <c r="E78" s="51"/>
      <c r="F78" s="51"/>
      <c r="G78" s="51"/>
    </row>
    <row r="79" spans="2:7" ht="12">
      <c r="B79" s="26">
        <v>71</v>
      </c>
      <c r="C79" s="28" t="s">
        <v>168</v>
      </c>
      <c r="D79" s="28" t="s">
        <v>169</v>
      </c>
      <c r="E79" s="29">
        <v>0.0249</v>
      </c>
      <c r="F79" s="30">
        <v>1636.8972</v>
      </c>
      <c r="G79" s="31">
        <f>E79*F79</f>
        <v>40.75874028</v>
      </c>
    </row>
    <row r="80" spans="2:7" ht="12">
      <c r="B80" s="27">
        <v>72</v>
      </c>
      <c r="C80" s="7" t="s">
        <v>170</v>
      </c>
      <c r="D80" s="7" t="s">
        <v>169</v>
      </c>
      <c r="E80" s="12">
        <v>0.0549</v>
      </c>
      <c r="F80" s="14">
        <v>44.885</v>
      </c>
      <c r="G80" s="32">
        <f>E80*F80</f>
        <v>2.4641865</v>
      </c>
    </row>
    <row r="81" spans="2:7" ht="24">
      <c r="B81" s="27">
        <v>73</v>
      </c>
      <c r="C81" s="7" t="s">
        <v>171</v>
      </c>
      <c r="D81" s="7" t="s">
        <v>169</v>
      </c>
      <c r="E81" s="12">
        <v>0.225</v>
      </c>
      <c r="F81" s="14">
        <v>689.3113999999999</v>
      </c>
      <c r="G81" s="32">
        <f>E81*F81</f>
        <v>155.09506499999998</v>
      </c>
    </row>
    <row r="82" spans="2:7" ht="24">
      <c r="B82" s="27">
        <v>74</v>
      </c>
      <c r="C82" s="7" t="s">
        <v>172</v>
      </c>
      <c r="D82" s="7" t="s">
        <v>169</v>
      </c>
      <c r="E82" s="12">
        <v>0.45</v>
      </c>
      <c r="F82" s="14">
        <v>3.9762</v>
      </c>
      <c r="G82" s="32">
        <f>E82*F82</f>
        <v>1.78929</v>
      </c>
    </row>
    <row r="83" spans="2:7" ht="12">
      <c r="B83" s="52" t="s">
        <v>112</v>
      </c>
      <c r="C83" s="53"/>
      <c r="D83" s="53"/>
      <c r="E83" s="53"/>
      <c r="F83" s="54"/>
      <c r="G83" s="33">
        <f>SUM(G79:G82)</f>
        <v>200.10728177999997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83:F83"/>
    <mergeCell ref="B1:G1"/>
    <mergeCell ref="B4:G4"/>
    <mergeCell ref="B32:F32"/>
    <mergeCell ref="B33:G33"/>
    <mergeCell ref="B77:F77"/>
    <mergeCell ref="B78:G78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Гульфира</cp:lastModifiedBy>
  <dcterms:created xsi:type="dcterms:W3CDTF">2021-06-17T09:53:33Z</dcterms:created>
  <dcterms:modified xsi:type="dcterms:W3CDTF">2021-06-17T06:56:15Z</dcterms:modified>
  <cp:category>ÑÐ¼ÐµÑ‚Ð°</cp:category>
  <cp:version/>
  <cp:contentType/>
  <cp:contentStatus/>
</cp:coreProperties>
</file>